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9B77D829-136C-4DE5-80E9-03C19F42A862}" xr6:coauthVersionLast="47" xr6:coauthVersionMax="47" xr10:uidLastSave="{00000000-0000-0000-0000-000000000000}"/>
  <bookViews>
    <workbookView xWindow="28680" yWindow="-120" windowWidth="20730" windowHeight="11040" xr2:uid="{44DB2E59-2DD2-4A5C-8BC3-84004B89B10E}"/>
  </bookViews>
  <sheets>
    <sheet name="Table 2.6a-f" sheetId="23" r:id="rId1"/>
  </sheets>
  <definedNames>
    <definedName name="_xlnm.Print_Area" localSheetId="0">'Table 2.6a-f'!$A$1:$X$111</definedName>
    <definedName name="T_1.0_pg_1" localSheetId="0">#REF!</definedName>
    <definedName name="T_1.0_pg_1">#REF!</definedName>
    <definedName name="T_1.0_pg_2" localSheetId="0">#REF!</definedName>
    <definedName name="T_1.0_pg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2" i="23" l="1"/>
  <c r="W101" i="23"/>
  <c r="W99" i="23"/>
  <c r="W92" i="23"/>
  <c r="W91" i="23"/>
  <c r="W90" i="23"/>
  <c r="W89" i="23"/>
  <c r="W56" i="23"/>
  <c r="W55" i="23"/>
  <c r="W54" i="23"/>
  <c r="W53" i="23"/>
  <c r="W20" i="23"/>
  <c r="W17" i="23"/>
  <c r="W16" i="23"/>
  <c r="W15" i="23"/>
  <c r="W14" i="23"/>
  <c r="K103" i="23"/>
  <c r="K102" i="23"/>
  <c r="K101" i="23"/>
  <c r="K99" i="23"/>
  <c r="K95" i="23"/>
  <c r="K92" i="23"/>
  <c r="K91" i="23"/>
  <c r="K90" i="23"/>
  <c r="K89" i="23"/>
  <c r="K59" i="23"/>
  <c r="K56" i="23"/>
  <c r="K55" i="23"/>
  <c r="K54" i="23"/>
  <c r="K53" i="23"/>
  <c r="K23" i="23"/>
  <c r="K20" i="23"/>
  <c r="K17" i="23"/>
  <c r="K16" i="23"/>
  <c r="K15" i="23"/>
  <c r="K14" i="23"/>
  <c r="V107" i="23"/>
  <c r="U107" i="23"/>
  <c r="T107" i="23"/>
  <c r="S107" i="23"/>
  <c r="V106" i="23"/>
  <c r="U106" i="23"/>
  <c r="T106" i="23"/>
  <c r="S106" i="23"/>
  <c r="V103" i="23"/>
  <c r="U103" i="23"/>
  <c r="T103" i="23"/>
  <c r="S103" i="23"/>
  <c r="V102" i="23"/>
  <c r="U102" i="23"/>
  <c r="T102" i="23"/>
  <c r="S102" i="23"/>
  <c r="V101" i="23"/>
  <c r="U101" i="23"/>
  <c r="T101" i="23"/>
  <c r="S101" i="23"/>
  <c r="V99" i="23"/>
  <c r="U99" i="23"/>
  <c r="T99" i="23"/>
  <c r="S99" i="23"/>
  <c r="T95" i="23"/>
  <c r="S95" i="23"/>
  <c r="V92" i="23"/>
  <c r="U92" i="23"/>
  <c r="T92" i="23"/>
  <c r="S92" i="23"/>
  <c r="V91" i="23"/>
  <c r="T91" i="23"/>
  <c r="S91" i="23"/>
  <c r="U90" i="23"/>
  <c r="T90" i="23"/>
  <c r="S90" i="23"/>
  <c r="V89" i="23"/>
  <c r="U89" i="23"/>
  <c r="T89" i="23"/>
  <c r="S89" i="23"/>
  <c r="J107" i="23"/>
  <c r="I107" i="23"/>
  <c r="H107" i="23"/>
  <c r="G107" i="23"/>
  <c r="J106" i="23"/>
  <c r="I106" i="23"/>
  <c r="H106" i="23"/>
  <c r="G106" i="23"/>
  <c r="J103" i="23"/>
  <c r="I103" i="23"/>
  <c r="H103" i="23"/>
  <c r="G103" i="23"/>
  <c r="J102" i="23"/>
  <c r="I102" i="23"/>
  <c r="H102" i="23"/>
  <c r="G102" i="23"/>
  <c r="J101" i="23"/>
  <c r="I101" i="23"/>
  <c r="H101" i="23"/>
  <c r="G101" i="23"/>
  <c r="J99" i="23"/>
  <c r="I99" i="23"/>
  <c r="H99" i="23"/>
  <c r="G99" i="23"/>
  <c r="J95" i="23"/>
  <c r="J92" i="23"/>
  <c r="I92" i="23"/>
  <c r="H92" i="23"/>
  <c r="G92" i="23"/>
  <c r="J91" i="23"/>
  <c r="I91" i="23"/>
  <c r="H91" i="23"/>
  <c r="G91" i="23"/>
  <c r="J90" i="23"/>
  <c r="I90" i="23"/>
  <c r="H90" i="23"/>
  <c r="G90" i="23"/>
  <c r="J89" i="23"/>
  <c r="H89" i="23"/>
  <c r="G89" i="23"/>
  <c r="V56" i="23"/>
  <c r="U56" i="23"/>
  <c r="T56" i="23"/>
  <c r="S56" i="23"/>
  <c r="V55" i="23"/>
  <c r="U55" i="23"/>
  <c r="T55" i="23"/>
  <c r="S55" i="23"/>
  <c r="V54" i="23"/>
  <c r="U54" i="23"/>
  <c r="T54" i="23"/>
  <c r="S54" i="23"/>
  <c r="V53" i="23"/>
  <c r="U53" i="23"/>
  <c r="T53" i="23"/>
  <c r="S53" i="23"/>
  <c r="J59" i="23"/>
  <c r="J56" i="23"/>
  <c r="I56" i="23"/>
  <c r="H56" i="23"/>
  <c r="G56" i="23"/>
  <c r="J55" i="23"/>
  <c r="I55" i="23"/>
  <c r="H55" i="23"/>
  <c r="G55" i="23"/>
  <c r="J54" i="23"/>
  <c r="I54" i="23"/>
  <c r="H54" i="23"/>
  <c r="G54" i="23"/>
  <c r="J53" i="23"/>
  <c r="I53" i="23"/>
  <c r="G53" i="23"/>
  <c r="V34" i="23"/>
  <c r="U34" i="23"/>
  <c r="T34" i="23"/>
  <c r="S34" i="23"/>
  <c r="V20" i="23"/>
  <c r="V17" i="23"/>
  <c r="U17" i="23"/>
  <c r="T17" i="23"/>
  <c r="S17" i="23"/>
  <c r="V16" i="23"/>
  <c r="U16" i="23"/>
  <c r="T16" i="23"/>
  <c r="S16" i="23"/>
  <c r="V15" i="23"/>
  <c r="U15" i="23"/>
  <c r="T15" i="23"/>
  <c r="S15" i="23"/>
  <c r="V14" i="23"/>
  <c r="U14" i="23"/>
  <c r="T14" i="23"/>
  <c r="S14" i="23"/>
  <c r="J34" i="23"/>
  <c r="I34" i="23"/>
  <c r="H34" i="23"/>
  <c r="G34" i="23"/>
  <c r="J23" i="23"/>
  <c r="I23" i="23"/>
  <c r="H23" i="23"/>
  <c r="J20" i="23"/>
  <c r="I20" i="23"/>
  <c r="H20" i="23"/>
  <c r="G20" i="23"/>
  <c r="J17" i="23"/>
  <c r="I17" i="23"/>
  <c r="H17" i="23"/>
  <c r="G17" i="23"/>
  <c r="J16" i="23"/>
  <c r="I16" i="23"/>
  <c r="H16" i="23"/>
  <c r="J15" i="23"/>
  <c r="I15" i="23"/>
  <c r="H15" i="23"/>
  <c r="G15" i="23"/>
  <c r="J14" i="23"/>
  <c r="I14" i="23"/>
  <c r="H14" i="23"/>
  <c r="G14" i="23"/>
  <c r="R92" i="23"/>
  <c r="R91" i="23"/>
  <c r="R90" i="23"/>
  <c r="R89" i="23"/>
  <c r="R56" i="23"/>
  <c r="R55" i="23"/>
  <c r="R54" i="23"/>
  <c r="R53" i="23"/>
  <c r="R17" i="23"/>
  <c r="R16" i="23"/>
  <c r="R15" i="23"/>
  <c r="R14" i="23"/>
  <c r="F92" i="23"/>
  <c r="F91" i="23"/>
  <c r="F90" i="23"/>
  <c r="F89" i="23"/>
  <c r="F56" i="23"/>
  <c r="F55" i="23"/>
  <c r="F54" i="23"/>
  <c r="F53" i="23"/>
  <c r="E20" i="23"/>
</calcChain>
</file>

<file path=xl/sharedStrings.xml><?xml version="1.0" encoding="utf-8"?>
<sst xmlns="http://schemas.openxmlformats.org/spreadsheetml/2006/main" count="291" uniqueCount="64">
  <si>
    <t xml:space="preserve"> </t>
  </si>
  <si>
    <t>FY2014</t>
  </si>
  <si>
    <t>FY2015</t>
  </si>
  <si>
    <t>FY2021</t>
  </si>
  <si>
    <t>FY2022</t>
  </si>
  <si>
    <t>Public 4-Year</t>
  </si>
  <si>
    <t>Public 2-Year</t>
  </si>
  <si>
    <t>Proprietary</t>
  </si>
  <si>
    <t>Overall</t>
  </si>
  <si>
    <t>Freshmen</t>
  </si>
  <si>
    <t>Characteristics of Eligible Dependent MAP Applicants</t>
  </si>
  <si>
    <t>Characteristics of Paid Dependent MAP Applicants</t>
  </si>
  <si>
    <t>NUMBER ELIGIBLE:</t>
  </si>
  <si>
    <t>NUMBER PAID:</t>
  </si>
  <si>
    <t>MEAN ANNOUNCED MAP GRANT:</t>
  </si>
  <si>
    <t>MEAN MAP CLAIM:</t>
  </si>
  <si>
    <t>APPLICANT  DISTRIBUTION:</t>
  </si>
  <si>
    <t xml:space="preserve">CLASS LEVEL: </t>
  </si>
  <si>
    <t>Sophomores</t>
  </si>
  <si>
    <t>Other Undergraduates</t>
  </si>
  <si>
    <t xml:space="preserve">ILLINOIS REGIONS: </t>
  </si>
  <si>
    <t>Chicago (Zip 606)</t>
  </si>
  <si>
    <t>Collar Area (600-605, 607, 608)</t>
  </si>
  <si>
    <t>All Other Areas</t>
  </si>
  <si>
    <t>PARENTS:</t>
  </si>
  <si>
    <t>Mean Age Oldest Parent</t>
  </si>
  <si>
    <t>%  Married</t>
  </si>
  <si>
    <t>%  With Assets</t>
  </si>
  <si>
    <t>%  With Tax Income</t>
  </si>
  <si>
    <t>Mean Tax Income</t>
  </si>
  <si>
    <t>HOUSEHOLD:</t>
  </si>
  <si>
    <t>Mean Size</t>
  </si>
  <si>
    <t>Mean # in College</t>
  </si>
  <si>
    <t>STUDENTS:</t>
  </si>
  <si>
    <t>Mean Age</t>
  </si>
  <si>
    <t>% With Taxable Income</t>
  </si>
  <si>
    <t>Mean Taxable Income, if &gt; 0</t>
  </si>
  <si>
    <t>EXPECTED FAMILY CONTRIBUTION:</t>
  </si>
  <si>
    <t>Mean Federal EFC</t>
  </si>
  <si>
    <t>Mean ISAC Adjusted EFC</t>
  </si>
  <si>
    <t>Characteristics of Eligible Independent MAP Applicants</t>
  </si>
  <si>
    <t>Characteristics of Paid Independent MAP Applicants</t>
  </si>
  <si>
    <t xml:space="preserve">  </t>
  </si>
  <si>
    <t>Characteristics of Eligible Dependent/Independent Combined MAP Applicants</t>
  </si>
  <si>
    <t>Characteristics of Paid Dependent/Independent Combined MAP Applicants</t>
  </si>
  <si>
    <t xml:space="preserve">PARENTS OF DEPENDENT STUDENTS/ </t>
  </si>
  <si>
    <t>INDEPENDENT STUDENTS:</t>
  </si>
  <si>
    <t>ISAC Adjusted EFC</t>
  </si>
  <si>
    <t xml:space="preserve">     Mean Taxable Income does not include dependent student income.</t>
  </si>
  <si>
    <t>FY2023</t>
  </si>
  <si>
    <t>FY2024</t>
  </si>
  <si>
    <t>Percent Zero EFC</t>
  </si>
  <si>
    <t>Private Not-for-Profit</t>
  </si>
  <si>
    <t>Table 2.6a of the 2025 ISAC Data Book</t>
  </si>
  <si>
    <t>FY2021-FY2025</t>
  </si>
  <si>
    <t>Table 2.6d of the 2025 ISAC Data Book</t>
  </si>
  <si>
    <t>Table 2.6b of the 2025 ISAC Data Book</t>
  </si>
  <si>
    <t>Table 2.6e of the 2025 ISAC Data Book</t>
  </si>
  <si>
    <t>Table 2.6c of the 2025 ISAC Data Book</t>
  </si>
  <si>
    <t>Table 2.6f of the 2025 ISAC Data Book</t>
  </si>
  <si>
    <t>FY2025</t>
  </si>
  <si>
    <t>-</t>
  </si>
  <si>
    <t>Mean Assets, if &gt; 0</t>
  </si>
  <si>
    <r>
      <t>*</t>
    </r>
    <r>
      <rPr>
        <sz val="10"/>
        <rFont val="Times New Roman"/>
        <family val="1"/>
      </rPr>
      <t>Information received for FAFSA filings was changed in FY2025 due to FAFSA Simplification.  Refer to page 1 for more details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</si>
</sst>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  <numFmt numFmtId="166" formatCode="0.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2" applyFont="1"/>
    <xf numFmtId="0" fontId="6" fillId="0" borderId="0" xfId="2" applyFont="1"/>
    <xf numFmtId="166" fontId="3" fillId="0" borderId="4" xfId="2" applyNumberFormat="1" applyFont="1" applyBorder="1"/>
    <xf numFmtId="0" fontId="3" fillId="0" borderId="2" xfId="2" applyFont="1" applyBorder="1"/>
    <xf numFmtId="164" fontId="3" fillId="0" borderId="1" xfId="2" applyNumberFormat="1" applyFont="1" applyBorder="1"/>
    <xf numFmtId="0" fontId="3" fillId="0" borderId="1" xfId="2" applyFont="1" applyBorder="1"/>
    <xf numFmtId="0" fontId="8" fillId="0" borderId="0" xfId="2" applyFont="1"/>
    <xf numFmtId="0" fontId="7" fillId="0" borderId="0" xfId="2" applyFont="1"/>
    <xf numFmtId="3" fontId="3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 vertical="top"/>
    </xf>
    <xf numFmtId="0" fontId="3" fillId="0" borderId="3" xfId="2" applyFont="1" applyBorder="1"/>
    <xf numFmtId="164" fontId="3" fillId="0" borderId="1" xfId="2" applyNumberFormat="1" applyFont="1" applyBorder="1" applyAlignment="1">
      <alignment horizontal="right"/>
    </xf>
    <xf numFmtId="164" fontId="3" fillId="0" borderId="3" xfId="2" applyNumberFormat="1" applyFont="1" applyBorder="1" applyAlignment="1">
      <alignment horizontal="right"/>
    </xf>
    <xf numFmtId="9" fontId="3" fillId="0" borderId="4" xfId="2" applyNumberFormat="1" applyFont="1" applyBorder="1"/>
    <xf numFmtId="9" fontId="3" fillId="0" borderId="1" xfId="2" applyNumberFormat="1" applyFont="1" applyBorder="1"/>
    <xf numFmtId="9" fontId="3" fillId="0" borderId="1" xfId="2" applyNumberFormat="1" applyFont="1" applyBorder="1" applyAlignment="1">
      <alignment horizontal="right"/>
    </xf>
    <xf numFmtId="9" fontId="3" fillId="0" borderId="1" xfId="2" quotePrefix="1" applyNumberFormat="1" applyFont="1" applyBorder="1" applyAlignment="1">
      <alignment horizontal="right"/>
    </xf>
    <xf numFmtId="9" fontId="3" fillId="0" borderId="3" xfId="2" applyNumberFormat="1" applyFont="1" applyBorder="1" applyAlignment="1">
      <alignment horizontal="right"/>
    </xf>
    <xf numFmtId="1" fontId="3" fillId="0" borderId="4" xfId="2" applyNumberFormat="1" applyFont="1" applyBorder="1"/>
    <xf numFmtId="3" fontId="3" fillId="0" borderId="1" xfId="2" applyNumberFormat="1" applyFont="1" applyBorder="1"/>
    <xf numFmtId="0" fontId="3" fillId="0" borderId="5" xfId="2" applyFont="1" applyBorder="1"/>
    <xf numFmtId="165" fontId="3" fillId="0" borderId="4" xfId="2" applyNumberFormat="1" applyFont="1" applyBorder="1"/>
    <xf numFmtId="0" fontId="5" fillId="0" borderId="0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7" xfId="2" applyFont="1" applyBorder="1" applyAlignment="1">
      <alignment horizontal="right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right"/>
    </xf>
    <xf numFmtId="0" fontId="9" fillId="0" borderId="9" xfId="2" applyFont="1" applyBorder="1"/>
    <xf numFmtId="0" fontId="9" fillId="0" borderId="0" xfId="2" applyFont="1" applyBorder="1"/>
    <xf numFmtId="0" fontId="9" fillId="0" borderId="0" xfId="2" applyFont="1" applyBorder="1" applyAlignment="1">
      <alignment horizontal="right"/>
    </xf>
    <xf numFmtId="0" fontId="9" fillId="0" borderId="10" xfId="2" applyFont="1" applyBorder="1" applyAlignment="1">
      <alignment horizontal="right"/>
    </xf>
    <xf numFmtId="37" fontId="3" fillId="0" borderId="9" xfId="2" applyNumberFormat="1" applyFont="1" applyBorder="1"/>
    <xf numFmtId="3" fontId="3" fillId="0" borderId="10" xfId="2" applyNumberFormat="1" applyFont="1" applyBorder="1" applyAlignment="1">
      <alignment horizontal="right"/>
    </xf>
    <xf numFmtId="5" fontId="3" fillId="0" borderId="9" xfId="2" applyNumberFormat="1" applyFont="1" applyBorder="1"/>
    <xf numFmtId="0" fontId="3" fillId="0" borderId="0" xfId="2" applyFont="1" applyBorder="1"/>
    <xf numFmtId="164" fontId="3" fillId="0" borderId="0" xfId="2" applyNumberFormat="1" applyFont="1" applyBorder="1" applyAlignment="1">
      <alignment horizontal="right"/>
    </xf>
    <xf numFmtId="164" fontId="3" fillId="0" borderId="10" xfId="2" applyNumberFormat="1" applyFont="1" applyBorder="1" applyAlignment="1">
      <alignment horizontal="right"/>
    </xf>
    <xf numFmtId="9" fontId="3" fillId="0" borderId="9" xfId="2" applyNumberFormat="1" applyFont="1" applyBorder="1"/>
    <xf numFmtId="9" fontId="3" fillId="0" borderId="0" xfId="2" applyNumberFormat="1" applyFont="1" applyBorder="1" applyAlignment="1">
      <alignment horizontal="right"/>
    </xf>
    <xf numFmtId="9" fontId="3" fillId="0" borderId="10" xfId="2" applyNumberFormat="1" applyFont="1" applyBorder="1" applyAlignment="1">
      <alignment horizontal="right"/>
    </xf>
    <xf numFmtId="0" fontId="3" fillId="0" borderId="0" xfId="2" applyFont="1" applyBorder="1" applyAlignment="1">
      <alignment horizontal="left" indent="2"/>
    </xf>
    <xf numFmtId="166" fontId="3" fillId="0" borderId="0" xfId="2" applyNumberFormat="1" applyFont="1" applyBorder="1" applyAlignment="1">
      <alignment horizontal="right"/>
    </xf>
    <xf numFmtId="166" fontId="3" fillId="0" borderId="10" xfId="2" applyNumberFormat="1" applyFont="1" applyBorder="1" applyAlignment="1">
      <alignment horizontal="right"/>
    </xf>
    <xf numFmtId="9" fontId="3" fillId="0" borderId="12" xfId="2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 vertical="top"/>
    </xf>
    <xf numFmtId="9" fontId="3" fillId="0" borderId="10" xfId="2" applyNumberFormat="1" applyFont="1" applyBorder="1"/>
    <xf numFmtId="9" fontId="3" fillId="0" borderId="0" xfId="2" applyNumberFormat="1" applyFont="1" applyBorder="1"/>
    <xf numFmtId="0" fontId="3" fillId="0" borderId="0" xfId="2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1" fontId="3" fillId="0" borderId="10" xfId="2" applyNumberFormat="1" applyFont="1" applyBorder="1"/>
    <xf numFmtId="164" fontId="3" fillId="0" borderId="0" xfId="2" applyNumberFormat="1" applyFont="1" applyBorder="1"/>
    <xf numFmtId="164" fontId="3" fillId="0" borderId="10" xfId="2" applyNumberFormat="1" applyFont="1" applyBorder="1"/>
    <xf numFmtId="166" fontId="3" fillId="0" borderId="10" xfId="2" applyNumberFormat="1" applyFont="1" applyBorder="1"/>
    <xf numFmtId="9" fontId="3" fillId="0" borderId="12" xfId="2" applyNumberFormat="1" applyFont="1" applyBorder="1"/>
    <xf numFmtId="9" fontId="3" fillId="0" borderId="13" xfId="2" applyNumberFormat="1" applyFont="1" applyBorder="1"/>
    <xf numFmtId="3" fontId="3" fillId="0" borderId="0" xfId="2" applyNumberFormat="1" applyFont="1" applyBorder="1"/>
    <xf numFmtId="166" fontId="3" fillId="0" borderId="0" xfId="2" applyNumberFormat="1" applyFont="1" applyBorder="1"/>
    <xf numFmtId="0" fontId="8" fillId="0" borderId="6" xfId="2" applyFont="1" applyBorder="1"/>
    <xf numFmtId="0" fontId="8" fillId="0" borderId="9" xfId="2" applyFont="1" applyBorder="1"/>
    <xf numFmtId="3" fontId="8" fillId="0" borderId="0" xfId="2" applyNumberFormat="1" applyFont="1"/>
    <xf numFmtId="0" fontId="8" fillId="0" borderId="1" xfId="2" applyFont="1" applyBorder="1"/>
    <xf numFmtId="0" fontId="8" fillId="0" borderId="11" xfId="2" applyFont="1" applyBorder="1"/>
    <xf numFmtId="0" fontId="8" fillId="0" borderId="12" xfId="2" applyFont="1" applyBorder="1"/>
    <xf numFmtId="0" fontId="8" fillId="0" borderId="12" xfId="2" applyFont="1" applyBorder="1" applyAlignment="1">
      <alignment horizontal="right"/>
    </xf>
    <xf numFmtId="0" fontId="8" fillId="0" borderId="13" xfId="2" applyFont="1" applyBorder="1"/>
    <xf numFmtId="0" fontId="8" fillId="0" borderId="0" xfId="2" applyFont="1" applyBorder="1"/>
    <xf numFmtId="0" fontId="8" fillId="0" borderId="0" xfId="2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2" applyNumberFormat="1" applyFont="1"/>
    <xf numFmtId="164" fontId="3" fillId="0" borderId="0" xfId="2" applyNumberFormat="1" applyFont="1"/>
    <xf numFmtId="166" fontId="3" fillId="0" borderId="0" xfId="2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9" fontId="3" fillId="0" borderId="0" xfId="2" applyNumberFormat="1" applyFont="1" applyFill="1"/>
    <xf numFmtId="164" fontId="3" fillId="0" borderId="0" xfId="2" applyNumberFormat="1" applyFont="1" applyFill="1"/>
    <xf numFmtId="166" fontId="3" fillId="0" borderId="4" xfId="2" applyNumberFormat="1" applyFont="1" applyFill="1" applyBorder="1" applyAlignment="1">
      <alignment horizontal="right"/>
    </xf>
    <xf numFmtId="166" fontId="3" fillId="0" borderId="0" xfId="2" applyNumberFormat="1" applyFont="1" applyFill="1" applyAlignment="1">
      <alignment horizontal="right"/>
    </xf>
    <xf numFmtId="1" fontId="3" fillId="0" borderId="4" xfId="2" applyNumberFormat="1" applyFont="1" applyFill="1" applyBorder="1"/>
    <xf numFmtId="9" fontId="3" fillId="0" borderId="4" xfId="2" applyNumberFormat="1" applyFont="1" applyFill="1" applyBorder="1"/>
    <xf numFmtId="165" fontId="3" fillId="0" borderId="4" xfId="2" applyNumberFormat="1" applyFont="1" applyFill="1" applyBorder="1"/>
    <xf numFmtId="164" fontId="3" fillId="0" borderId="0" xfId="2" applyNumberFormat="1" applyFont="1" applyFill="1" applyAlignment="1">
      <alignment horizontal="right"/>
    </xf>
    <xf numFmtId="164" fontId="3" fillId="0" borderId="1" xfId="2" applyNumberFormat="1" applyFont="1" applyFill="1" applyBorder="1" applyAlignment="1">
      <alignment horizontal="right"/>
    </xf>
    <xf numFmtId="167" fontId="5" fillId="0" borderId="0" xfId="2" applyNumberFormat="1" applyFont="1"/>
    <xf numFmtId="167" fontId="8" fillId="0" borderId="0" xfId="2" applyNumberFormat="1" applyFont="1"/>
    <xf numFmtId="0" fontId="8" fillId="0" borderId="0" xfId="2" applyFont="1" applyAlignment="1">
      <alignment horizontal="left"/>
    </xf>
  </cellXfs>
  <cellStyles count="9">
    <cellStyle name="Comma 2" xfId="8" xr:uid="{0D75322A-8A43-454E-B0BC-F52FBEE3332D}"/>
    <cellStyle name="Normal" xfId="0" builtinId="0"/>
    <cellStyle name="Normal 2" xfId="2" xr:uid="{47FBC40B-5D96-4F29-BFEB-5D4D9B1E66D3}"/>
    <cellStyle name="Normal 2 2" xfId="1" xr:uid="{CB3C9183-732E-465B-8905-E36D19D21BA8}"/>
    <cellStyle name="Normal 2 3" xfId="6" xr:uid="{379F0E0A-EF11-46DD-AC0E-D79C6B4B1943}"/>
    <cellStyle name="Normal 3" xfId="3" xr:uid="{EEDDFCD8-917A-4413-B069-52D5B5C17F0C}"/>
    <cellStyle name="Normal 3 2" xfId="4" xr:uid="{55E1D424-63A0-4C26-A617-B754DCD17BBF}"/>
    <cellStyle name="Normal 4" xfId="5" xr:uid="{D534CF14-3321-416A-8CC9-32B2DC0B971B}"/>
    <cellStyle name="tnr10" xfId="7" xr:uid="{E4CFF1C5-003A-4AB5-9F28-85B9E9BEA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888656</xdr:colOff>
      <xdr:row>100</xdr:row>
      <xdr:rowOff>124952</xdr:rowOff>
    </xdr:from>
    <xdr:ext cx="236668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E23E0-0F24-430D-9CD6-9270050C5B9E}"/>
            </a:ext>
          </a:extLst>
        </xdr:cNvPr>
        <xdr:cNvSpPr txBox="1"/>
      </xdr:nvSpPr>
      <xdr:spPr>
        <a:xfrm>
          <a:off x="3633588" y="17815475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0</xdr:col>
      <xdr:colOff>112059</xdr:colOff>
      <xdr:row>108</xdr:row>
      <xdr:rowOff>89647</xdr:rowOff>
    </xdr:from>
    <xdr:ext cx="236668" cy="217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39FED8-8CDB-40E0-B26D-F9478678B9AD}"/>
            </a:ext>
          </a:extLst>
        </xdr:cNvPr>
        <xdr:cNvSpPr txBox="1"/>
      </xdr:nvSpPr>
      <xdr:spPr>
        <a:xfrm>
          <a:off x="112059" y="1927299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15</xdr:col>
      <xdr:colOff>882702</xdr:colOff>
      <xdr:row>100</xdr:row>
      <xdr:rowOff>120517</xdr:rowOff>
    </xdr:from>
    <xdr:ext cx="236668" cy="217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81A0D6-2D38-4C0D-AE1F-8A93A960C71C}"/>
            </a:ext>
          </a:extLst>
        </xdr:cNvPr>
        <xdr:cNvSpPr txBox="1"/>
      </xdr:nvSpPr>
      <xdr:spPr>
        <a:xfrm>
          <a:off x="12087566" y="17811040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12</xdr:col>
      <xdr:colOff>112059</xdr:colOff>
      <xdr:row>108</xdr:row>
      <xdr:rowOff>89647</xdr:rowOff>
    </xdr:from>
    <xdr:ext cx="236668" cy="217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CF64BDC-5E7C-43B4-9378-D9D5B48D5BA7}"/>
            </a:ext>
          </a:extLst>
        </xdr:cNvPr>
        <xdr:cNvSpPr txBox="1"/>
      </xdr:nvSpPr>
      <xdr:spPr>
        <a:xfrm>
          <a:off x="8741709" y="19272997"/>
          <a:ext cx="236668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19A9-A5AA-4CF5-806A-546F2288486E}">
  <sheetPr codeName="Sheet1"/>
  <dimension ref="B2:AF128"/>
  <sheetViews>
    <sheetView tabSelected="1" view="pageBreakPreview" zoomScale="70" zoomScaleNormal="70" zoomScaleSheetLayoutView="70" workbookViewId="0"/>
  </sheetViews>
  <sheetFormatPr defaultColWidth="8.6328125" defaultRowHeight="10.5" x14ac:dyDescent="0.25"/>
  <cols>
    <col min="1" max="1" width="2" style="7" customWidth="1"/>
    <col min="2" max="2" width="2.08984375" style="7" customWidth="1"/>
    <col min="3" max="3" width="36" style="7" customWidth="1"/>
    <col min="4" max="4" width="27.90625" style="7" customWidth="1"/>
    <col min="5" max="6" width="9.54296875" style="7" hidden="1" customWidth="1"/>
    <col min="7" max="7" width="9.54296875" style="7" customWidth="1"/>
    <col min="8" max="11" width="10.90625" style="7" customWidth="1"/>
    <col min="12" max="12" width="2.36328125" style="7" customWidth="1"/>
    <col min="13" max="13" width="2" style="7" customWidth="1"/>
    <col min="14" max="14" width="2.08984375" style="7" customWidth="1"/>
    <col min="15" max="15" width="36" style="7" customWidth="1"/>
    <col min="16" max="16" width="27.90625" style="7" customWidth="1"/>
    <col min="17" max="18" width="0" style="7" hidden="1" customWidth="1"/>
    <col min="19" max="23" width="10.90625" style="7" customWidth="1"/>
    <col min="24" max="24" width="2.36328125" style="7" customWidth="1"/>
    <col min="25" max="26" width="8.6328125" style="7"/>
    <col min="27" max="27" width="23" style="7" bestFit="1" customWidth="1"/>
    <col min="28" max="16384" width="8.6328125" style="7"/>
  </cols>
  <sheetData>
    <row r="2" spans="2:32" ht="18" x14ac:dyDescent="0.4">
      <c r="B2" s="1" t="s">
        <v>53</v>
      </c>
      <c r="D2" s="8"/>
      <c r="E2" s="1"/>
      <c r="F2" s="1"/>
      <c r="G2" s="1" t="s">
        <v>0</v>
      </c>
      <c r="H2" s="1"/>
      <c r="I2" s="1"/>
      <c r="N2" s="1" t="s">
        <v>55</v>
      </c>
      <c r="P2" s="8"/>
      <c r="Q2" s="1"/>
      <c r="R2" s="1"/>
      <c r="S2" s="1" t="s">
        <v>0</v>
      </c>
      <c r="T2" s="1"/>
      <c r="U2" s="1"/>
    </row>
    <row r="3" spans="2:32" ht="17.5" x14ac:dyDescent="0.35">
      <c r="B3" s="1" t="s">
        <v>10</v>
      </c>
      <c r="D3" s="1"/>
      <c r="E3" s="1"/>
      <c r="F3" s="1"/>
      <c r="G3" s="1"/>
      <c r="H3" s="1"/>
      <c r="I3" s="1"/>
      <c r="N3" s="1" t="s">
        <v>11</v>
      </c>
      <c r="P3" s="1"/>
      <c r="Q3" s="1"/>
      <c r="R3" s="1"/>
      <c r="S3" s="1"/>
      <c r="T3" s="1"/>
      <c r="U3" s="1"/>
    </row>
    <row r="4" spans="2:32" ht="17.5" x14ac:dyDescent="0.35">
      <c r="B4" s="1" t="s">
        <v>54</v>
      </c>
      <c r="D4" s="1"/>
      <c r="E4" s="1"/>
      <c r="F4" s="1"/>
      <c r="G4" s="83"/>
      <c r="H4" s="83"/>
      <c r="I4" s="1"/>
      <c r="J4" s="84"/>
      <c r="N4" s="1" t="s">
        <v>54</v>
      </c>
      <c r="P4" s="1"/>
      <c r="Q4" s="1"/>
      <c r="R4" s="1"/>
      <c r="S4" s="1"/>
      <c r="T4" s="1"/>
      <c r="U4" s="1"/>
    </row>
    <row r="5" spans="2:32" ht="18" thickBot="1" x14ac:dyDescent="0.4">
      <c r="B5" s="1"/>
      <c r="D5" s="1"/>
      <c r="E5" s="1"/>
      <c r="F5" s="1"/>
      <c r="G5" s="1"/>
      <c r="H5" s="1"/>
      <c r="I5" s="1"/>
      <c r="N5" s="1"/>
      <c r="P5" s="1"/>
      <c r="Q5" s="1"/>
      <c r="R5" s="23"/>
      <c r="S5" s="1"/>
      <c r="T5" s="1"/>
      <c r="U5" s="1"/>
    </row>
    <row r="6" spans="2:32" ht="13" x14ac:dyDescent="0.3">
      <c r="B6" s="59"/>
      <c r="C6" s="25"/>
      <c r="D6" s="25"/>
      <c r="E6" s="26" t="s">
        <v>1</v>
      </c>
      <c r="F6" s="26" t="s">
        <v>2</v>
      </c>
      <c r="G6" s="27" t="s">
        <v>3</v>
      </c>
      <c r="H6" s="27" t="s">
        <v>4</v>
      </c>
      <c r="I6" s="27" t="s">
        <v>49</v>
      </c>
      <c r="J6" s="27" t="s">
        <v>50</v>
      </c>
      <c r="K6" s="27" t="s">
        <v>60</v>
      </c>
      <c r="L6" s="28"/>
      <c r="N6" s="59"/>
      <c r="O6" s="25"/>
      <c r="P6" s="25"/>
      <c r="Q6" s="26" t="s">
        <v>1</v>
      </c>
      <c r="R6" s="26" t="s">
        <v>2</v>
      </c>
      <c r="S6" s="27" t="s">
        <v>3</v>
      </c>
      <c r="T6" s="27" t="s">
        <v>4</v>
      </c>
      <c r="U6" s="27" t="s">
        <v>49</v>
      </c>
      <c r="V6" s="27" t="s">
        <v>50</v>
      </c>
      <c r="W6" s="27" t="s">
        <v>60</v>
      </c>
      <c r="X6" s="28"/>
    </row>
    <row r="7" spans="2:32" ht="13" x14ac:dyDescent="0.3">
      <c r="B7" s="60"/>
      <c r="C7" s="30"/>
      <c r="D7" s="30"/>
      <c r="E7" s="31"/>
      <c r="F7" s="31"/>
      <c r="G7" s="31"/>
      <c r="H7" s="31"/>
      <c r="I7" s="31"/>
      <c r="J7" s="31"/>
      <c r="K7" s="31"/>
      <c r="L7" s="32"/>
      <c r="N7" s="60"/>
      <c r="O7" s="30"/>
      <c r="P7" s="30"/>
      <c r="Q7" s="31"/>
      <c r="R7" s="31"/>
      <c r="S7" s="31"/>
      <c r="T7" s="31"/>
      <c r="U7" s="31"/>
      <c r="V7" s="31"/>
      <c r="W7" s="31"/>
      <c r="X7" s="32"/>
    </row>
    <row r="8" spans="2:32" ht="13" x14ac:dyDescent="0.3">
      <c r="B8" s="60"/>
      <c r="C8" s="6" t="s">
        <v>12</v>
      </c>
      <c r="D8" s="6"/>
      <c r="E8" s="9">
        <v>165566</v>
      </c>
      <c r="F8" s="9">
        <v>161302</v>
      </c>
      <c r="G8" s="10">
        <v>137323</v>
      </c>
      <c r="H8" s="10">
        <v>134317</v>
      </c>
      <c r="I8" s="10">
        <v>131735</v>
      </c>
      <c r="J8" s="10">
        <v>138136</v>
      </c>
      <c r="K8" s="10">
        <v>136361</v>
      </c>
      <c r="L8" s="46"/>
      <c r="N8" s="60"/>
      <c r="O8" s="6" t="s">
        <v>13</v>
      </c>
      <c r="P8" s="6"/>
      <c r="Q8" s="9">
        <v>86702</v>
      </c>
      <c r="R8" s="9">
        <v>83347</v>
      </c>
      <c r="S8" s="10">
        <v>92732</v>
      </c>
      <c r="T8" s="10">
        <v>95049</v>
      </c>
      <c r="U8" s="10">
        <v>96245</v>
      </c>
      <c r="V8" s="10">
        <v>96789</v>
      </c>
      <c r="W8" s="10">
        <v>99458</v>
      </c>
      <c r="X8" s="46"/>
    </row>
    <row r="9" spans="2:32" ht="13" x14ac:dyDescent="0.3">
      <c r="B9" s="60"/>
      <c r="C9" s="36" t="s">
        <v>14</v>
      </c>
      <c r="D9" s="36" t="s">
        <v>8</v>
      </c>
      <c r="E9" s="37">
        <v>3132</v>
      </c>
      <c r="F9" s="37">
        <v>3119</v>
      </c>
      <c r="G9" s="37">
        <v>3918</v>
      </c>
      <c r="H9" s="37">
        <v>4186</v>
      </c>
      <c r="I9" s="37">
        <v>5308</v>
      </c>
      <c r="J9" s="37">
        <v>6017</v>
      </c>
      <c r="K9" s="69">
        <v>5819</v>
      </c>
      <c r="L9" s="38"/>
      <c r="N9" s="60"/>
      <c r="O9" s="36" t="s">
        <v>15</v>
      </c>
      <c r="P9" s="36" t="s">
        <v>8</v>
      </c>
      <c r="Q9" s="37">
        <v>3086</v>
      </c>
      <c r="R9" s="37">
        <v>3132</v>
      </c>
      <c r="S9" s="37">
        <v>3575</v>
      </c>
      <c r="T9" s="37">
        <v>3696</v>
      </c>
      <c r="U9" s="37">
        <v>4666</v>
      </c>
      <c r="V9" s="37">
        <v>5438</v>
      </c>
      <c r="W9" s="69">
        <v>5318</v>
      </c>
      <c r="X9" s="38"/>
      <c r="AB9" s="61"/>
      <c r="AC9" s="61"/>
      <c r="AD9" s="61"/>
      <c r="AF9" s="61"/>
    </row>
    <row r="10" spans="2:32" ht="13" x14ac:dyDescent="0.3">
      <c r="B10" s="60"/>
      <c r="C10" s="36"/>
      <c r="D10" s="36" t="s">
        <v>5</v>
      </c>
      <c r="E10" s="37">
        <v>4133</v>
      </c>
      <c r="F10" s="37">
        <v>4207</v>
      </c>
      <c r="G10" s="37">
        <v>5187</v>
      </c>
      <c r="H10" s="37">
        <v>5493</v>
      </c>
      <c r="I10" s="37">
        <v>7050</v>
      </c>
      <c r="J10" s="37">
        <v>8159</v>
      </c>
      <c r="K10" s="69">
        <v>7694</v>
      </c>
      <c r="L10" s="38"/>
      <c r="N10" s="60"/>
      <c r="O10" s="36"/>
      <c r="P10" s="36" t="s">
        <v>5</v>
      </c>
      <c r="Q10" s="37">
        <v>3725</v>
      </c>
      <c r="R10" s="37">
        <v>3737</v>
      </c>
      <c r="S10" s="37">
        <v>4545</v>
      </c>
      <c r="T10" s="37">
        <v>4731</v>
      </c>
      <c r="U10" s="37">
        <v>6119</v>
      </c>
      <c r="V10" s="37">
        <v>7185</v>
      </c>
      <c r="W10" s="69">
        <v>6892</v>
      </c>
      <c r="X10" s="38"/>
    </row>
    <row r="11" spans="2:32" ht="13" x14ac:dyDescent="0.3">
      <c r="B11" s="60"/>
      <c r="C11" s="36"/>
      <c r="D11" s="36" t="s">
        <v>6</v>
      </c>
      <c r="E11" s="37">
        <v>1664</v>
      </c>
      <c r="F11" s="37">
        <v>1517</v>
      </c>
      <c r="G11" s="37">
        <v>1685</v>
      </c>
      <c r="H11" s="37">
        <v>1876</v>
      </c>
      <c r="I11" s="37">
        <v>2529</v>
      </c>
      <c r="J11" s="37">
        <v>2725</v>
      </c>
      <c r="K11" s="69">
        <v>2706</v>
      </c>
      <c r="L11" s="38"/>
      <c r="N11" s="60"/>
      <c r="O11" s="36"/>
      <c r="P11" s="36" t="s">
        <v>6</v>
      </c>
      <c r="Q11" s="37">
        <v>1002</v>
      </c>
      <c r="R11" s="37">
        <v>1015</v>
      </c>
      <c r="S11" s="37">
        <v>1077</v>
      </c>
      <c r="T11" s="37">
        <v>1105</v>
      </c>
      <c r="U11" s="37">
        <v>1569</v>
      </c>
      <c r="V11" s="37">
        <v>1706</v>
      </c>
      <c r="W11" s="69">
        <v>1757</v>
      </c>
      <c r="X11" s="38"/>
    </row>
    <row r="12" spans="2:32" ht="13" x14ac:dyDescent="0.3">
      <c r="B12" s="60"/>
      <c r="C12" s="36"/>
      <c r="D12" s="36" t="s">
        <v>52</v>
      </c>
      <c r="E12" s="37">
        <v>4603</v>
      </c>
      <c r="F12" s="37">
        <v>4676</v>
      </c>
      <c r="G12" s="37">
        <v>5331</v>
      </c>
      <c r="H12" s="37">
        <v>5642</v>
      </c>
      <c r="I12" s="37">
        <v>7192</v>
      </c>
      <c r="J12" s="37">
        <v>8391</v>
      </c>
      <c r="K12" s="69">
        <v>8020</v>
      </c>
      <c r="L12" s="38"/>
      <c r="N12" s="60"/>
      <c r="O12" s="36"/>
      <c r="P12" s="36" t="s">
        <v>52</v>
      </c>
      <c r="Q12" s="37">
        <v>4245</v>
      </c>
      <c r="R12" s="37">
        <v>4240</v>
      </c>
      <c r="S12" s="37">
        <v>4724</v>
      </c>
      <c r="T12" s="37">
        <v>4949</v>
      </c>
      <c r="U12" s="37">
        <v>6357</v>
      </c>
      <c r="V12" s="37">
        <v>7490</v>
      </c>
      <c r="W12" s="69">
        <v>7275</v>
      </c>
      <c r="X12" s="38"/>
    </row>
    <row r="13" spans="2:32" ht="13" x14ac:dyDescent="0.3">
      <c r="B13" s="60"/>
      <c r="C13" s="11"/>
      <c r="D13" s="11" t="s">
        <v>7</v>
      </c>
      <c r="E13" s="12">
        <v>4556</v>
      </c>
      <c r="F13" s="12">
        <v>4645</v>
      </c>
      <c r="G13" s="13">
        <v>5176</v>
      </c>
      <c r="H13" s="13">
        <v>5494</v>
      </c>
      <c r="I13" s="13">
        <v>7063</v>
      </c>
      <c r="J13" s="13">
        <v>8230</v>
      </c>
      <c r="K13" s="13">
        <v>7830</v>
      </c>
      <c r="L13" s="38"/>
      <c r="N13" s="60"/>
      <c r="O13" s="11"/>
      <c r="P13" s="11" t="s">
        <v>7</v>
      </c>
      <c r="Q13" s="12">
        <v>3201</v>
      </c>
      <c r="R13" s="12">
        <v>3079</v>
      </c>
      <c r="S13" s="13">
        <v>3459</v>
      </c>
      <c r="T13" s="13">
        <v>3555</v>
      </c>
      <c r="U13" s="13">
        <v>4462</v>
      </c>
      <c r="V13" s="13">
        <v>5463</v>
      </c>
      <c r="W13" s="13">
        <v>5215</v>
      </c>
      <c r="X13" s="38"/>
    </row>
    <row r="14" spans="2:32" ht="13" x14ac:dyDescent="0.3">
      <c r="B14" s="60"/>
      <c r="C14" s="36" t="s">
        <v>16</v>
      </c>
      <c r="D14" s="36" t="s">
        <v>5</v>
      </c>
      <c r="E14" s="40">
        <v>0.28000000000000003</v>
      </c>
      <c r="F14" s="40">
        <v>0.2859109000508363</v>
      </c>
      <c r="G14" s="14">
        <f>48478/G8</f>
        <v>0.35302170794404436</v>
      </c>
      <c r="H14" s="14">
        <f>47908/H8</f>
        <v>0.35667860360192677</v>
      </c>
      <c r="I14" s="14">
        <f>46397/I8</f>
        <v>0.35219949140319579</v>
      </c>
      <c r="J14" s="14">
        <f>47219/J8</f>
        <v>0.341829790930677</v>
      </c>
      <c r="K14" s="14">
        <f>46661/K8</f>
        <v>0.34218728228745754</v>
      </c>
      <c r="L14" s="47"/>
      <c r="N14" s="60"/>
      <c r="O14" s="36" t="s">
        <v>16</v>
      </c>
      <c r="P14" s="36" t="s">
        <v>5</v>
      </c>
      <c r="Q14" s="40">
        <v>0.37</v>
      </c>
      <c r="R14" s="40">
        <f>31483/R8</f>
        <v>0.37773405161553503</v>
      </c>
      <c r="S14" s="14">
        <f>37273/S8</f>
        <v>0.40194323426648837</v>
      </c>
      <c r="T14" s="14">
        <f>38193/T8</f>
        <v>0.40182432219171166</v>
      </c>
      <c r="U14" s="14">
        <f>37386/U8</f>
        <v>0.38844615304691155</v>
      </c>
      <c r="V14" s="14">
        <f>37183/V8</f>
        <v>0.38416555600326485</v>
      </c>
      <c r="W14" s="14">
        <f>38394/W8</f>
        <v>0.38603229503911196</v>
      </c>
      <c r="X14" s="47"/>
    </row>
    <row r="15" spans="2:32" ht="13" x14ac:dyDescent="0.3">
      <c r="B15" s="60"/>
      <c r="C15" s="36"/>
      <c r="D15" s="36" t="s">
        <v>6</v>
      </c>
      <c r="E15" s="48">
        <v>0.45500000000000002</v>
      </c>
      <c r="F15" s="48">
        <v>0.45003161771087774</v>
      </c>
      <c r="G15" s="48">
        <f>51267/G8</f>
        <v>0.37333148853433146</v>
      </c>
      <c r="H15" s="48">
        <f>49977/H8</f>
        <v>0.3720824616392564</v>
      </c>
      <c r="I15" s="48">
        <f>51773/I8</f>
        <v>0.3930086916916537</v>
      </c>
      <c r="J15" s="48">
        <f>55918/J8</f>
        <v>0.40480396131348817</v>
      </c>
      <c r="K15" s="70">
        <f>53588/K8</f>
        <v>0.39298626440111173</v>
      </c>
      <c r="L15" s="47"/>
      <c r="N15" s="60"/>
      <c r="O15" s="36"/>
      <c r="P15" s="36" t="s">
        <v>6</v>
      </c>
      <c r="Q15" s="40">
        <v>0.28999999999999998</v>
      </c>
      <c r="R15" s="40">
        <f>23104/R8</f>
        <v>0.27720253878363948</v>
      </c>
      <c r="S15" s="48">
        <f>27128/S8</f>
        <v>0.29254194884182377</v>
      </c>
      <c r="T15" s="48">
        <f>28538/T8</f>
        <v>0.30024513671895547</v>
      </c>
      <c r="U15" s="48">
        <f>31844/U8</f>
        <v>0.33086394098394722</v>
      </c>
      <c r="V15" s="48">
        <f>32177/V8</f>
        <v>0.33244480261186704</v>
      </c>
      <c r="W15" s="70">
        <f>32431/W8</f>
        <v>0.32607733917834664</v>
      </c>
      <c r="X15" s="47"/>
    </row>
    <row r="16" spans="2:32" ht="13" x14ac:dyDescent="0.3">
      <c r="B16" s="60"/>
      <c r="C16" s="36"/>
      <c r="D16" s="36" t="s">
        <v>52</v>
      </c>
      <c r="E16" s="48">
        <v>0.23300000000000001</v>
      </c>
      <c r="F16" s="48">
        <v>0.23506838104921204</v>
      </c>
      <c r="G16" s="48">
        <v>0.27</v>
      </c>
      <c r="H16" s="48">
        <f>35231/H8</f>
        <v>0.26229740092467818</v>
      </c>
      <c r="I16" s="48">
        <f>32478/I8</f>
        <v>0.2465404030819448</v>
      </c>
      <c r="J16" s="48">
        <f>34008/J8</f>
        <v>0.24619215845253953</v>
      </c>
      <c r="K16" s="70">
        <f>35257/K8</f>
        <v>0.25855633208908707</v>
      </c>
      <c r="L16" s="47"/>
      <c r="N16" s="60"/>
      <c r="O16" s="36"/>
      <c r="P16" s="36" t="s">
        <v>52</v>
      </c>
      <c r="Q16" s="40">
        <v>0.315</v>
      </c>
      <c r="R16" s="40">
        <f>26895/R8</f>
        <v>0.32268707931899171</v>
      </c>
      <c r="S16" s="48">
        <f>27600/S8</f>
        <v>0.29763188543329161</v>
      </c>
      <c r="T16" s="48">
        <f>27540/T8</f>
        <v>0.28974528927184928</v>
      </c>
      <c r="U16" s="48">
        <f>26284/U8</f>
        <v>0.27309470621850485</v>
      </c>
      <c r="V16" s="48">
        <f>26865/V8</f>
        <v>0.27756253293246136</v>
      </c>
      <c r="W16" s="70">
        <f>28133/W8</f>
        <v>0.28286311810010256</v>
      </c>
      <c r="X16" s="47"/>
    </row>
    <row r="17" spans="2:32" ht="13" x14ac:dyDescent="0.3">
      <c r="B17" s="60"/>
      <c r="C17" s="6"/>
      <c r="D17" s="6" t="s">
        <v>7</v>
      </c>
      <c r="E17" s="15">
        <v>2.8000000000000001E-2</v>
      </c>
      <c r="F17" s="15">
        <v>2.5814930998995674E-2</v>
      </c>
      <c r="G17" s="48">
        <f>1202/G8</f>
        <v>8.7530857904356881E-3</v>
      </c>
      <c r="H17" s="48">
        <f>1201/H8</f>
        <v>8.9415338341386416E-3</v>
      </c>
      <c r="I17" s="48">
        <f>1087/I8</f>
        <v>8.2514138232056781E-3</v>
      </c>
      <c r="J17" s="48">
        <f>991/J8</f>
        <v>7.1740893032953027E-3</v>
      </c>
      <c r="K17" s="70">
        <f>855/K8</f>
        <v>6.2701212223436322E-3</v>
      </c>
      <c r="L17" s="47"/>
      <c r="N17" s="60"/>
      <c r="O17" s="6"/>
      <c r="P17" s="6" t="s">
        <v>7</v>
      </c>
      <c r="Q17" s="17">
        <v>0.02</v>
      </c>
      <c r="R17" s="17">
        <f>1564/R8</f>
        <v>1.8764922552701357E-2</v>
      </c>
      <c r="S17" s="48">
        <f>731/S8</f>
        <v>7.8829314583962386E-3</v>
      </c>
      <c r="T17" s="48">
        <f>778/T8</f>
        <v>8.1852518174836131E-3</v>
      </c>
      <c r="U17" s="48">
        <f>731/U8</f>
        <v>7.5951997506363963E-3</v>
      </c>
      <c r="V17" s="48">
        <f>731/V8</f>
        <v>7.5525111324634001E-3</v>
      </c>
      <c r="W17" s="70">
        <f>500/W8</f>
        <v>5.0272476824388184E-3</v>
      </c>
      <c r="X17" s="47"/>
    </row>
    <row r="18" spans="2:32" ht="13" x14ac:dyDescent="0.3">
      <c r="B18" s="60"/>
      <c r="C18" s="36" t="s">
        <v>17</v>
      </c>
      <c r="D18" s="36" t="s">
        <v>9</v>
      </c>
      <c r="E18" s="48">
        <v>0.48699999999999999</v>
      </c>
      <c r="F18" s="48">
        <v>0.48199999999999998</v>
      </c>
      <c r="G18" s="14">
        <v>0.44800000000000001</v>
      </c>
      <c r="H18" s="14">
        <v>0.45300000000000001</v>
      </c>
      <c r="I18" s="14">
        <v>0.47</v>
      </c>
      <c r="J18" s="14">
        <v>0.49</v>
      </c>
      <c r="K18" s="14">
        <v>0.44</v>
      </c>
      <c r="L18" s="47"/>
      <c r="N18" s="60"/>
      <c r="O18" s="36" t="s">
        <v>17</v>
      </c>
      <c r="P18" s="36" t="s">
        <v>9</v>
      </c>
      <c r="Q18" s="40">
        <v>0.4</v>
      </c>
      <c r="R18" s="40">
        <v>0.39300000000000002</v>
      </c>
      <c r="S18" s="14">
        <v>0.37</v>
      </c>
      <c r="T18" s="14">
        <v>0.378</v>
      </c>
      <c r="U18" s="14">
        <v>0.40500000000000003</v>
      </c>
      <c r="V18" s="14">
        <v>0.41799999999999998</v>
      </c>
      <c r="W18" s="14">
        <v>0.38</v>
      </c>
      <c r="X18" s="47"/>
    </row>
    <row r="19" spans="2:32" ht="13" x14ac:dyDescent="0.3">
      <c r="B19" s="60"/>
      <c r="C19" s="36"/>
      <c r="D19" s="36" t="s">
        <v>18</v>
      </c>
      <c r="E19" s="48">
        <v>0.224</v>
      </c>
      <c r="F19" s="48">
        <v>0.22900000000000001</v>
      </c>
      <c r="G19" s="48">
        <v>0.23300000000000001</v>
      </c>
      <c r="H19" s="48">
        <v>0.222</v>
      </c>
      <c r="I19" s="48">
        <v>0.218</v>
      </c>
      <c r="J19" s="48">
        <v>0.22</v>
      </c>
      <c r="K19" s="70">
        <v>0.25</v>
      </c>
      <c r="L19" s="47"/>
      <c r="N19" s="60"/>
      <c r="O19" s="36"/>
      <c r="P19" s="36" t="s">
        <v>18</v>
      </c>
      <c r="Q19" s="40">
        <v>0.23499999999999999</v>
      </c>
      <c r="R19" s="40">
        <v>0.24</v>
      </c>
      <c r="S19" s="48">
        <v>0.251</v>
      </c>
      <c r="T19" s="48">
        <v>0.23899999999999999</v>
      </c>
      <c r="U19" s="48">
        <v>0.23300000000000001</v>
      </c>
      <c r="V19" s="48">
        <v>0.24</v>
      </c>
      <c r="W19" s="70">
        <v>0.26600000000000001</v>
      </c>
      <c r="X19" s="47"/>
    </row>
    <row r="20" spans="2:32" ht="13" x14ac:dyDescent="0.3">
      <c r="B20" s="60"/>
      <c r="C20" s="11"/>
      <c r="D20" s="11" t="s">
        <v>19</v>
      </c>
      <c r="E20" s="15">
        <f>1-E18-E19</f>
        <v>0.28900000000000003</v>
      </c>
      <c r="F20" s="15">
        <v>0.28799999999999998</v>
      </c>
      <c r="G20" s="48">
        <f>1-G18-G19</f>
        <v>0.31900000000000006</v>
      </c>
      <c r="H20" s="48">
        <f>1-H18-H19</f>
        <v>0.32499999999999996</v>
      </c>
      <c r="I20" s="48">
        <f>1-I18-I19</f>
        <v>0.31200000000000006</v>
      </c>
      <c r="J20" s="48">
        <f>1-J18-J19</f>
        <v>0.29000000000000004</v>
      </c>
      <c r="K20" s="70">
        <f>1-K18-K19</f>
        <v>0.31000000000000005</v>
      </c>
      <c r="L20" s="47"/>
      <c r="N20" s="60"/>
      <c r="O20" s="11"/>
      <c r="P20" s="11" t="s">
        <v>19</v>
      </c>
      <c r="Q20" s="18">
        <v>0.36</v>
      </c>
      <c r="R20" s="18">
        <v>0.36699999999999999</v>
      </c>
      <c r="S20" s="48">
        <v>0.38</v>
      </c>
      <c r="T20" s="48">
        <v>0.38</v>
      </c>
      <c r="U20" s="48">
        <v>0.36</v>
      </c>
      <c r="V20" s="48">
        <f>1-V19-V18</f>
        <v>0.34200000000000003</v>
      </c>
      <c r="W20" s="70">
        <f>1-W19-W18</f>
        <v>0.35399999999999998</v>
      </c>
      <c r="X20" s="47"/>
    </row>
    <row r="21" spans="2:32" ht="13" x14ac:dyDescent="0.3">
      <c r="B21" s="60"/>
      <c r="C21" s="36" t="s">
        <v>20</v>
      </c>
      <c r="D21" s="36" t="s">
        <v>21</v>
      </c>
      <c r="E21" s="48">
        <v>0.28199999999999997</v>
      </c>
      <c r="F21" s="48">
        <v>0.28100000000000003</v>
      </c>
      <c r="G21" s="14">
        <v>0.29199999999999998</v>
      </c>
      <c r="H21" s="14">
        <v>0.29199999999999998</v>
      </c>
      <c r="I21" s="14">
        <v>0.29799999999999999</v>
      </c>
      <c r="J21" s="14">
        <v>0.28999999999999998</v>
      </c>
      <c r="K21" s="14">
        <v>0.28999999999999998</v>
      </c>
      <c r="L21" s="47"/>
      <c r="N21" s="60"/>
      <c r="O21" s="36" t="s">
        <v>20</v>
      </c>
      <c r="P21" s="36" t="s">
        <v>21</v>
      </c>
      <c r="Q21" s="40">
        <v>0.28999999999999998</v>
      </c>
      <c r="R21" s="40">
        <v>0.29199999999999998</v>
      </c>
      <c r="S21" s="14">
        <v>0.28399999999999997</v>
      </c>
      <c r="T21" s="14">
        <v>0.28299999999999997</v>
      </c>
      <c r="U21" s="14">
        <v>0.28899999999999998</v>
      </c>
      <c r="V21" s="14">
        <v>0.28599999999999998</v>
      </c>
      <c r="W21" s="14">
        <v>0.28499999999999998</v>
      </c>
      <c r="X21" s="47"/>
    </row>
    <row r="22" spans="2:32" ht="13" x14ac:dyDescent="0.3">
      <c r="B22" s="60"/>
      <c r="C22" s="36"/>
      <c r="D22" s="36" t="s">
        <v>22</v>
      </c>
      <c r="E22" s="48">
        <v>0.47</v>
      </c>
      <c r="F22" s="48">
        <v>0.47299999999999998</v>
      </c>
      <c r="G22" s="48">
        <v>0.48199999999999998</v>
      </c>
      <c r="H22" s="48">
        <v>0.48599999999999999</v>
      </c>
      <c r="I22" s="48">
        <v>0.48</v>
      </c>
      <c r="J22" s="48">
        <v>0.48</v>
      </c>
      <c r="K22" s="70">
        <v>0.48</v>
      </c>
      <c r="L22" s="47"/>
      <c r="N22" s="60"/>
      <c r="O22" s="36"/>
      <c r="P22" s="36" t="s">
        <v>22</v>
      </c>
      <c r="Q22" s="40">
        <v>0.48</v>
      </c>
      <c r="R22" s="40">
        <v>0.48099999999999998</v>
      </c>
      <c r="S22" s="48">
        <v>0.497</v>
      </c>
      <c r="T22" s="48">
        <v>0.498</v>
      </c>
      <c r="U22" s="48">
        <v>0.495</v>
      </c>
      <c r="V22" s="48">
        <v>0.49399999999999999</v>
      </c>
      <c r="W22" s="70">
        <v>0.49199999999999999</v>
      </c>
      <c r="X22" s="47"/>
    </row>
    <row r="23" spans="2:32" ht="13" x14ac:dyDescent="0.3">
      <c r="B23" s="60"/>
      <c r="C23" s="6"/>
      <c r="D23" s="6" t="s">
        <v>23</v>
      </c>
      <c r="E23" s="15">
        <v>0.248</v>
      </c>
      <c r="F23" s="15">
        <v>0.245</v>
      </c>
      <c r="G23" s="48">
        <v>0.23</v>
      </c>
      <c r="H23" s="48">
        <f>1-H22-H21</f>
        <v>0.22200000000000003</v>
      </c>
      <c r="I23" s="48">
        <f>1-I22-I21</f>
        <v>0.22200000000000003</v>
      </c>
      <c r="J23" s="48">
        <f>1-J22-J21</f>
        <v>0.23000000000000004</v>
      </c>
      <c r="K23" s="70">
        <f>1-K22-K21</f>
        <v>0.23000000000000004</v>
      </c>
      <c r="L23" s="47"/>
      <c r="N23" s="60"/>
      <c r="O23" s="6"/>
      <c r="P23" s="6" t="s">
        <v>23</v>
      </c>
      <c r="Q23" s="16">
        <v>0.23</v>
      </c>
      <c r="R23" s="16">
        <v>0.22700000000000001</v>
      </c>
      <c r="S23" s="48">
        <v>0.22</v>
      </c>
      <c r="T23" s="48">
        <v>0.22</v>
      </c>
      <c r="U23" s="48">
        <v>0.21</v>
      </c>
      <c r="V23" s="48">
        <v>0.22</v>
      </c>
      <c r="W23" s="70">
        <v>0.222</v>
      </c>
      <c r="X23" s="47"/>
    </row>
    <row r="24" spans="2:32" ht="13" x14ac:dyDescent="0.3">
      <c r="B24" s="60"/>
      <c r="C24" s="36" t="s">
        <v>24</v>
      </c>
      <c r="D24" s="36" t="s">
        <v>25</v>
      </c>
      <c r="E24" s="36">
        <v>49</v>
      </c>
      <c r="F24" s="36">
        <v>49</v>
      </c>
      <c r="G24" s="19">
        <v>49</v>
      </c>
      <c r="H24" s="19">
        <v>49</v>
      </c>
      <c r="I24" s="19">
        <v>49</v>
      </c>
      <c r="J24" s="19">
        <v>49</v>
      </c>
      <c r="K24" s="19">
        <v>49</v>
      </c>
      <c r="L24" s="51"/>
      <c r="N24" s="60"/>
      <c r="O24" s="36" t="s">
        <v>24</v>
      </c>
      <c r="P24" s="36" t="s">
        <v>25</v>
      </c>
      <c r="Q24" s="49">
        <v>49</v>
      </c>
      <c r="R24" s="49">
        <v>49</v>
      </c>
      <c r="S24" s="19">
        <v>50</v>
      </c>
      <c r="T24" s="19">
        <v>50</v>
      </c>
      <c r="U24" s="19">
        <v>50</v>
      </c>
      <c r="V24" s="19">
        <v>50</v>
      </c>
      <c r="W24" s="19">
        <v>50</v>
      </c>
      <c r="X24" s="51"/>
    </row>
    <row r="25" spans="2:32" ht="13" x14ac:dyDescent="0.3">
      <c r="B25" s="60"/>
      <c r="C25" s="36"/>
      <c r="D25" s="36" t="s">
        <v>26</v>
      </c>
      <c r="E25" s="48">
        <v>0.41</v>
      </c>
      <c r="F25" s="48">
        <v>0.41099999999999998</v>
      </c>
      <c r="G25" s="48">
        <v>0.41699999999999998</v>
      </c>
      <c r="H25" s="48">
        <v>0.41499999999999998</v>
      </c>
      <c r="I25" s="48">
        <v>0.40699999999999997</v>
      </c>
      <c r="J25" s="48">
        <v>0.39900000000000002</v>
      </c>
      <c r="K25" s="70">
        <v>0.4</v>
      </c>
      <c r="L25" s="47"/>
      <c r="N25" s="60"/>
      <c r="O25" s="36"/>
      <c r="P25" s="36" t="s">
        <v>26</v>
      </c>
      <c r="Q25" s="40">
        <v>0.45700000000000002</v>
      </c>
      <c r="R25" s="40">
        <v>0.45800000000000002</v>
      </c>
      <c r="S25" s="48">
        <v>0.44400000000000001</v>
      </c>
      <c r="T25" s="48">
        <v>0.441</v>
      </c>
      <c r="U25" s="48">
        <v>0.43</v>
      </c>
      <c r="V25" s="48">
        <v>0.42099999999999999</v>
      </c>
      <c r="W25" s="70">
        <v>0.443</v>
      </c>
      <c r="X25" s="47"/>
    </row>
    <row r="26" spans="2:32" ht="13" x14ac:dyDescent="0.3">
      <c r="B26" s="60"/>
      <c r="C26" s="36"/>
      <c r="D26" s="36" t="s">
        <v>27</v>
      </c>
      <c r="E26" s="48">
        <v>0.66</v>
      </c>
      <c r="F26" s="48">
        <v>0.66</v>
      </c>
      <c r="G26" s="48">
        <v>0.74199999999999999</v>
      </c>
      <c r="H26" s="48">
        <v>0.76500000000000001</v>
      </c>
      <c r="I26" s="48">
        <v>0.76</v>
      </c>
      <c r="J26" s="48">
        <v>0.748</v>
      </c>
      <c r="K26" s="74">
        <v>0.16400000000000001</v>
      </c>
      <c r="L26" s="47"/>
      <c r="N26" s="60"/>
      <c r="O26" s="52"/>
      <c r="P26" s="36" t="s">
        <v>27</v>
      </c>
      <c r="Q26" s="40">
        <v>0.70799999999999996</v>
      </c>
      <c r="R26" s="40">
        <v>0.70899999999999996</v>
      </c>
      <c r="S26" s="48">
        <v>0.76800000000000002</v>
      </c>
      <c r="T26" s="48">
        <v>0.79</v>
      </c>
      <c r="U26" s="48">
        <v>0.78500000000000003</v>
      </c>
      <c r="V26" s="48">
        <v>0.77500000000000002</v>
      </c>
      <c r="W26" s="74">
        <v>0.17399999999999999</v>
      </c>
      <c r="X26" s="47"/>
    </row>
    <row r="27" spans="2:32" ht="13" x14ac:dyDescent="0.3">
      <c r="B27" s="60"/>
      <c r="C27" s="36"/>
      <c r="D27" s="36" t="s">
        <v>62</v>
      </c>
      <c r="E27" s="52">
        <v>7891</v>
      </c>
      <c r="F27" s="52">
        <v>7876</v>
      </c>
      <c r="G27" s="52">
        <v>12600</v>
      </c>
      <c r="H27" s="52">
        <v>13218</v>
      </c>
      <c r="I27" s="52">
        <v>14959</v>
      </c>
      <c r="J27" s="52">
        <v>13560</v>
      </c>
      <c r="K27" s="75">
        <v>34204</v>
      </c>
      <c r="L27" s="53"/>
      <c r="N27" s="60"/>
      <c r="O27" s="52"/>
      <c r="P27" s="36" t="s">
        <v>62</v>
      </c>
      <c r="Q27" s="37">
        <v>9320</v>
      </c>
      <c r="R27" s="37">
        <v>9321.223</v>
      </c>
      <c r="S27" s="52">
        <v>13207</v>
      </c>
      <c r="T27" s="52">
        <v>13497</v>
      </c>
      <c r="U27" s="52">
        <v>15269</v>
      </c>
      <c r="V27" s="52">
        <v>13872</v>
      </c>
      <c r="W27" s="75">
        <v>33356</v>
      </c>
      <c r="X27" s="53"/>
    </row>
    <row r="28" spans="2:32" ht="13" x14ac:dyDescent="0.3">
      <c r="B28" s="60"/>
      <c r="C28" s="36"/>
      <c r="D28" s="36" t="s">
        <v>28</v>
      </c>
      <c r="E28" s="48">
        <v>0.88900000000000001</v>
      </c>
      <c r="F28" s="48">
        <v>0.88900000000000001</v>
      </c>
      <c r="G28" s="48">
        <v>0.92</v>
      </c>
      <c r="H28" s="48">
        <v>0.92400000000000004</v>
      </c>
      <c r="I28" s="48">
        <v>0.92100000000000004</v>
      </c>
      <c r="J28" s="48">
        <v>0.92100000000000004</v>
      </c>
      <c r="K28" s="74">
        <v>0.89</v>
      </c>
      <c r="L28" s="47"/>
      <c r="N28" s="60"/>
      <c r="O28" s="36"/>
      <c r="P28" s="36" t="s">
        <v>28</v>
      </c>
      <c r="Q28" s="40">
        <v>0.91</v>
      </c>
      <c r="R28" s="40">
        <v>0.91100000000000003</v>
      </c>
      <c r="S28" s="48">
        <v>0.93</v>
      </c>
      <c r="T28" s="48">
        <v>0.93400000000000005</v>
      </c>
      <c r="U28" s="48">
        <v>0.93100000000000005</v>
      </c>
      <c r="V28" s="48">
        <v>0.93200000000000005</v>
      </c>
      <c r="W28" s="74">
        <v>0.90500000000000003</v>
      </c>
      <c r="X28" s="47"/>
      <c r="AB28" s="61"/>
      <c r="AC28" s="61"/>
      <c r="AD28" s="61"/>
      <c r="AE28" s="61"/>
      <c r="AF28" s="61"/>
    </row>
    <row r="29" spans="2:32" ht="13" x14ac:dyDescent="0.3">
      <c r="B29" s="60"/>
      <c r="C29" s="36"/>
      <c r="D29" s="36" t="s">
        <v>29</v>
      </c>
      <c r="E29" s="5">
        <v>29127</v>
      </c>
      <c r="F29" s="5">
        <v>29388</v>
      </c>
      <c r="G29" s="52">
        <v>33882</v>
      </c>
      <c r="H29" s="52">
        <v>34672</v>
      </c>
      <c r="I29" s="52">
        <v>35000</v>
      </c>
      <c r="J29" s="52">
        <v>38014</v>
      </c>
      <c r="K29" s="75">
        <v>40126</v>
      </c>
      <c r="L29" s="53"/>
      <c r="N29" s="60"/>
      <c r="O29" s="6"/>
      <c r="P29" s="6" t="s">
        <v>29</v>
      </c>
      <c r="Q29" s="12">
        <v>31775</v>
      </c>
      <c r="R29" s="12">
        <v>32227</v>
      </c>
      <c r="S29" s="52">
        <v>34934</v>
      </c>
      <c r="T29" s="52">
        <v>35817</v>
      </c>
      <c r="U29" s="52">
        <v>35925</v>
      </c>
      <c r="V29" s="52">
        <v>39108</v>
      </c>
      <c r="W29" s="75">
        <v>41379</v>
      </c>
      <c r="X29" s="53"/>
      <c r="AB29" s="61"/>
      <c r="AC29" s="61"/>
      <c r="AD29" s="61"/>
      <c r="AE29" s="61"/>
      <c r="AF29" s="61"/>
    </row>
    <row r="30" spans="2:32" ht="13" x14ac:dyDescent="0.3">
      <c r="B30" s="60"/>
      <c r="C30" s="4" t="s">
        <v>30</v>
      </c>
      <c r="D30" s="4" t="s">
        <v>31</v>
      </c>
      <c r="E30" s="58">
        <v>4</v>
      </c>
      <c r="F30" s="58">
        <v>4</v>
      </c>
      <c r="G30" s="3">
        <v>4</v>
      </c>
      <c r="H30" s="3">
        <v>4</v>
      </c>
      <c r="I30" s="3">
        <v>4</v>
      </c>
      <c r="J30" s="3">
        <v>4</v>
      </c>
      <c r="K30" s="76">
        <v>3.8</v>
      </c>
      <c r="L30" s="54"/>
      <c r="N30" s="60"/>
      <c r="O30" s="36" t="s">
        <v>30</v>
      </c>
      <c r="P30" s="36" t="s">
        <v>31</v>
      </c>
      <c r="Q30" s="43">
        <v>4</v>
      </c>
      <c r="R30" s="43">
        <v>4</v>
      </c>
      <c r="S30" s="3">
        <v>4</v>
      </c>
      <c r="T30" s="3">
        <v>4</v>
      </c>
      <c r="U30" s="3">
        <v>4</v>
      </c>
      <c r="V30" s="3">
        <v>3.9</v>
      </c>
      <c r="W30" s="76">
        <v>3.8</v>
      </c>
      <c r="X30" s="54"/>
      <c r="AB30" s="61"/>
      <c r="AC30" s="61"/>
      <c r="AD30" s="61"/>
      <c r="AE30" s="61"/>
      <c r="AF30" s="61"/>
    </row>
    <row r="31" spans="2:32" ht="13" x14ac:dyDescent="0.3">
      <c r="B31" s="60"/>
      <c r="C31" s="62"/>
      <c r="D31" s="6" t="s">
        <v>32</v>
      </c>
      <c r="E31" s="6">
        <v>1.4</v>
      </c>
      <c r="F31" s="6">
        <v>1.4</v>
      </c>
      <c r="G31" s="58">
        <v>1.4</v>
      </c>
      <c r="H31" s="58">
        <v>1.4</v>
      </c>
      <c r="I31" s="58">
        <v>1.3</v>
      </c>
      <c r="J31" s="58">
        <v>1.3</v>
      </c>
      <c r="K31" s="77" t="s">
        <v>61</v>
      </c>
      <c r="L31" s="54"/>
      <c r="N31" s="60"/>
      <c r="O31" s="62"/>
      <c r="P31" s="6" t="s">
        <v>32</v>
      </c>
      <c r="Q31" s="6">
        <v>1.5</v>
      </c>
      <c r="R31" s="6">
        <v>1.4</v>
      </c>
      <c r="S31" s="58">
        <v>1.4</v>
      </c>
      <c r="T31" s="58">
        <v>1.4</v>
      </c>
      <c r="U31" s="58">
        <v>1.4</v>
      </c>
      <c r="V31" s="58">
        <v>1.3</v>
      </c>
      <c r="W31" s="77" t="s">
        <v>61</v>
      </c>
      <c r="X31" s="54"/>
    </row>
    <row r="32" spans="2:32" ht="13" x14ac:dyDescent="0.3">
      <c r="B32" s="60"/>
      <c r="C32" s="36" t="s">
        <v>33</v>
      </c>
      <c r="D32" s="36" t="s">
        <v>34</v>
      </c>
      <c r="E32" s="36">
        <v>20</v>
      </c>
      <c r="F32" s="36">
        <v>20</v>
      </c>
      <c r="G32" s="19">
        <v>20</v>
      </c>
      <c r="H32" s="19">
        <v>19.899999999999999</v>
      </c>
      <c r="I32" s="19">
        <v>19.8</v>
      </c>
      <c r="J32" s="19">
        <v>19.8</v>
      </c>
      <c r="K32" s="78">
        <v>19.8</v>
      </c>
      <c r="L32" s="51"/>
      <c r="N32" s="60"/>
      <c r="O32" s="36" t="s">
        <v>33</v>
      </c>
      <c r="P32" s="36" t="s">
        <v>34</v>
      </c>
      <c r="Q32" s="49">
        <v>20</v>
      </c>
      <c r="R32" s="49">
        <v>20</v>
      </c>
      <c r="S32" s="19">
        <v>19</v>
      </c>
      <c r="T32" s="19">
        <v>20</v>
      </c>
      <c r="U32" s="19">
        <v>19.899999999999999</v>
      </c>
      <c r="V32" s="19">
        <v>19.899999999999999</v>
      </c>
      <c r="W32" s="78">
        <v>19.899999999999999</v>
      </c>
      <c r="X32" s="51"/>
    </row>
    <row r="33" spans="2:32" ht="13" x14ac:dyDescent="0.3">
      <c r="B33" s="60"/>
      <c r="C33" s="36"/>
      <c r="D33" s="36" t="s">
        <v>35</v>
      </c>
      <c r="E33" s="48">
        <v>0.56699999999999995</v>
      </c>
      <c r="F33" s="48">
        <v>0.58499999999999996</v>
      </c>
      <c r="G33" s="48">
        <v>0.50600000000000001</v>
      </c>
      <c r="H33" s="48">
        <v>0.505</v>
      </c>
      <c r="I33" s="48">
        <v>0.46100000000000002</v>
      </c>
      <c r="J33" s="48">
        <v>0.46500000000000002</v>
      </c>
      <c r="K33" s="74">
        <v>0.32</v>
      </c>
      <c r="L33" s="47"/>
      <c r="N33" s="60"/>
      <c r="O33" s="36"/>
      <c r="P33" s="36" t="s">
        <v>35</v>
      </c>
      <c r="Q33" s="40">
        <v>0.57999999999999996</v>
      </c>
      <c r="R33" s="40">
        <v>0.59599999999999997</v>
      </c>
      <c r="S33" s="48">
        <v>0.52700000000000002</v>
      </c>
      <c r="T33" s="48">
        <v>0.52500000000000002</v>
      </c>
      <c r="U33" s="48">
        <v>0.47499999999999998</v>
      </c>
      <c r="V33" s="48">
        <v>0.48499999999999999</v>
      </c>
      <c r="W33" s="74">
        <v>0.33300000000000002</v>
      </c>
      <c r="X33" s="47"/>
    </row>
    <row r="34" spans="2:32" ht="13" x14ac:dyDescent="0.3">
      <c r="B34" s="60"/>
      <c r="C34" s="6"/>
      <c r="D34" s="6" t="s">
        <v>36</v>
      </c>
      <c r="E34" s="5">
        <v>6180</v>
      </c>
      <c r="F34" s="5">
        <v>6351</v>
      </c>
      <c r="G34" s="52">
        <f>3434/G33</f>
        <v>6786.561264822134</v>
      </c>
      <c r="H34" s="52">
        <f>3560/H33</f>
        <v>7049.5049504950493</v>
      </c>
      <c r="I34" s="52">
        <f>3572/I33</f>
        <v>7748.3731019522775</v>
      </c>
      <c r="J34" s="52">
        <f>4092/J33</f>
        <v>8800</v>
      </c>
      <c r="K34" s="75">
        <v>3576</v>
      </c>
      <c r="L34" s="53"/>
      <c r="N34" s="60"/>
      <c r="O34" s="6"/>
      <c r="P34" s="6" t="s">
        <v>36</v>
      </c>
      <c r="Q34" s="12">
        <v>5401</v>
      </c>
      <c r="R34" s="12">
        <v>5403</v>
      </c>
      <c r="S34" s="52">
        <f>3339/S33</f>
        <v>6335.8633776091083</v>
      </c>
      <c r="T34" s="52">
        <f>3526/T33</f>
        <v>6716.1904761904761</v>
      </c>
      <c r="U34" s="52">
        <f>3544/U33</f>
        <v>7461.0526315789475</v>
      </c>
      <c r="V34" s="52">
        <f>4045/V33</f>
        <v>8340.2061855670108</v>
      </c>
      <c r="W34" s="75">
        <v>3491</v>
      </c>
      <c r="X34" s="53"/>
    </row>
    <row r="35" spans="2:32" ht="13" x14ac:dyDescent="0.3">
      <c r="B35" s="60"/>
      <c r="C35" s="36" t="s">
        <v>37</v>
      </c>
      <c r="D35" s="36" t="s">
        <v>51</v>
      </c>
      <c r="E35" s="48">
        <v>0.501</v>
      </c>
      <c r="F35" s="48">
        <v>0.50600000000000001</v>
      </c>
      <c r="G35" s="14">
        <v>0.50800000000000001</v>
      </c>
      <c r="H35" s="14">
        <v>0.505</v>
      </c>
      <c r="I35" s="14">
        <v>0.48799999999999999</v>
      </c>
      <c r="J35" s="14">
        <v>0.498</v>
      </c>
      <c r="K35" s="79">
        <v>0.77200000000000002</v>
      </c>
      <c r="L35" s="47"/>
      <c r="N35" s="60"/>
      <c r="O35" s="36" t="s">
        <v>37</v>
      </c>
      <c r="P35" s="36" t="s">
        <v>51</v>
      </c>
      <c r="Q35" s="40">
        <v>0.45400000000000001</v>
      </c>
      <c r="R35" s="40">
        <v>0.45700000000000002</v>
      </c>
      <c r="S35" s="14">
        <v>0.48699999999999999</v>
      </c>
      <c r="T35" s="14">
        <v>0.48299999999999998</v>
      </c>
      <c r="U35" s="14">
        <v>0.46899999999999997</v>
      </c>
      <c r="V35" s="14">
        <v>0.47799999999999998</v>
      </c>
      <c r="W35" s="79">
        <v>0.75600000000000001</v>
      </c>
      <c r="X35" s="47"/>
    </row>
    <row r="36" spans="2:32" ht="13" x14ac:dyDescent="0.3">
      <c r="B36" s="60"/>
      <c r="C36" s="36"/>
      <c r="D36" s="36" t="s">
        <v>38</v>
      </c>
      <c r="E36" s="52">
        <v>1288</v>
      </c>
      <c r="F36" s="52">
        <v>1270</v>
      </c>
      <c r="G36" s="52">
        <v>1486</v>
      </c>
      <c r="H36" s="52">
        <v>1497</v>
      </c>
      <c r="I36" s="52">
        <v>1596</v>
      </c>
      <c r="J36" s="52">
        <v>1607</v>
      </c>
      <c r="K36" s="75">
        <v>-231</v>
      </c>
      <c r="L36" s="53"/>
      <c r="N36" s="60"/>
      <c r="O36" s="36"/>
      <c r="P36" s="36" t="s">
        <v>38</v>
      </c>
      <c r="Q36" s="37">
        <v>1503</v>
      </c>
      <c r="R36" s="37">
        <v>1500</v>
      </c>
      <c r="S36" s="52">
        <v>1606</v>
      </c>
      <c r="T36" s="52">
        <v>1598</v>
      </c>
      <c r="U36" s="52">
        <v>1666</v>
      </c>
      <c r="V36" s="52">
        <v>1707</v>
      </c>
      <c r="W36" s="75">
        <v>-143</v>
      </c>
      <c r="X36" s="53"/>
    </row>
    <row r="37" spans="2:32" ht="13" x14ac:dyDescent="0.3">
      <c r="B37" s="60"/>
      <c r="C37" s="36"/>
      <c r="D37" s="36" t="s">
        <v>39</v>
      </c>
      <c r="E37" s="52">
        <v>3430</v>
      </c>
      <c r="F37" s="52">
        <v>3398</v>
      </c>
      <c r="G37" s="52">
        <v>3794</v>
      </c>
      <c r="H37" s="52">
        <v>3769</v>
      </c>
      <c r="I37" s="52">
        <v>3870</v>
      </c>
      <c r="J37" s="52">
        <v>3880</v>
      </c>
      <c r="K37" s="71">
        <v>3444</v>
      </c>
      <c r="L37" s="53"/>
      <c r="N37" s="60"/>
      <c r="O37" s="36"/>
      <c r="P37" s="36" t="s">
        <v>39</v>
      </c>
      <c r="Q37" s="37">
        <v>3798</v>
      </c>
      <c r="R37" s="37">
        <v>3782</v>
      </c>
      <c r="S37" s="52">
        <v>3969</v>
      </c>
      <c r="T37" s="52">
        <v>3924</v>
      </c>
      <c r="U37" s="52">
        <v>3978</v>
      </c>
      <c r="V37" s="52">
        <v>4032</v>
      </c>
      <c r="W37" s="71">
        <v>3580</v>
      </c>
      <c r="X37" s="53"/>
    </row>
    <row r="38" spans="2:32" ht="13.5" thickBot="1" x14ac:dyDescent="0.35">
      <c r="B38" s="63"/>
      <c r="C38" s="64"/>
      <c r="D38" s="64"/>
      <c r="E38" s="64"/>
      <c r="F38" s="65"/>
      <c r="G38" s="65"/>
      <c r="H38" s="65"/>
      <c r="I38" s="45"/>
      <c r="J38" s="65"/>
      <c r="K38" s="64"/>
      <c r="L38" s="66"/>
      <c r="N38" s="63"/>
      <c r="O38" s="64"/>
      <c r="P38" s="64"/>
      <c r="Q38" s="65"/>
      <c r="R38" s="65"/>
      <c r="S38" s="65"/>
      <c r="T38" s="65"/>
      <c r="U38" s="65"/>
      <c r="V38" s="64"/>
      <c r="W38" s="64"/>
      <c r="X38" s="66"/>
    </row>
    <row r="39" spans="2:32" ht="13" x14ac:dyDescent="0.3">
      <c r="C39" s="7" t="s">
        <v>63</v>
      </c>
      <c r="L39" s="67"/>
      <c r="O39" s="7" t="s">
        <v>63</v>
      </c>
      <c r="P39" s="61"/>
      <c r="Q39" s="61"/>
      <c r="R39" s="61"/>
      <c r="S39" s="61"/>
      <c r="T39" s="61"/>
      <c r="U39" s="61"/>
    </row>
    <row r="40" spans="2:32" x14ac:dyDescent="0.25">
      <c r="AB40" s="61"/>
      <c r="AC40" s="61"/>
      <c r="AD40" s="61"/>
      <c r="AE40" s="61"/>
      <c r="AF40" s="61"/>
    </row>
    <row r="41" spans="2:32" ht="18" x14ac:dyDescent="0.4">
      <c r="B41" s="1" t="s">
        <v>56</v>
      </c>
      <c r="D41" s="8"/>
      <c r="E41" s="1" t="s">
        <v>0</v>
      </c>
      <c r="F41" s="1"/>
      <c r="G41" s="1"/>
      <c r="H41" s="1"/>
      <c r="I41" s="1"/>
      <c r="N41" s="1" t="s">
        <v>57</v>
      </c>
      <c r="P41" s="8"/>
      <c r="Q41" s="1"/>
      <c r="R41" s="8"/>
      <c r="S41" s="1" t="s">
        <v>0</v>
      </c>
      <c r="T41" s="1"/>
      <c r="U41" s="1"/>
      <c r="AB41" s="61"/>
      <c r="AC41" s="61"/>
      <c r="AD41" s="61"/>
      <c r="AE41" s="61"/>
      <c r="AF41" s="61"/>
    </row>
    <row r="42" spans="2:32" ht="18" x14ac:dyDescent="0.4">
      <c r="B42" s="1" t="s">
        <v>40</v>
      </c>
      <c r="D42" s="8"/>
      <c r="E42" s="1"/>
      <c r="F42" s="1"/>
      <c r="G42" s="1"/>
      <c r="H42" s="1"/>
      <c r="I42" s="1"/>
      <c r="N42" s="1" t="s">
        <v>41</v>
      </c>
      <c r="P42" s="8"/>
      <c r="Q42" s="1"/>
      <c r="R42" s="1"/>
      <c r="S42" s="1"/>
      <c r="T42" s="1"/>
      <c r="U42" s="1"/>
    </row>
    <row r="43" spans="2:32" ht="17.5" x14ac:dyDescent="0.35">
      <c r="B43" s="1" t="s">
        <v>54</v>
      </c>
      <c r="D43" s="1"/>
      <c r="E43" s="1"/>
      <c r="F43" s="1"/>
      <c r="G43" s="1" t="s">
        <v>0</v>
      </c>
      <c r="H43" s="1"/>
      <c r="I43" s="1"/>
      <c r="N43" s="1" t="s">
        <v>54</v>
      </c>
      <c r="P43" s="1"/>
      <c r="Q43" s="1"/>
      <c r="R43" s="1"/>
      <c r="S43" s="1"/>
      <c r="T43" s="1"/>
      <c r="U43" s="1"/>
    </row>
    <row r="44" spans="2:32" ht="18" thickBot="1" x14ac:dyDescent="0.4">
      <c r="B44" s="1"/>
      <c r="D44" s="1"/>
      <c r="E44" s="1"/>
      <c r="F44" s="1"/>
      <c r="G44" s="1"/>
      <c r="H44" s="1"/>
      <c r="I44" s="1"/>
      <c r="N44" s="1"/>
      <c r="P44" s="1"/>
      <c r="Q44" s="1"/>
      <c r="R44" s="23"/>
      <c r="S44" s="1"/>
      <c r="T44" s="1"/>
      <c r="U44" s="1"/>
    </row>
    <row r="45" spans="2:32" ht="13" x14ac:dyDescent="0.3">
      <c r="B45" s="24"/>
      <c r="C45" s="25"/>
      <c r="D45" s="25"/>
      <c r="E45" s="26" t="s">
        <v>1</v>
      </c>
      <c r="F45" s="26" t="s">
        <v>2</v>
      </c>
      <c r="G45" s="27" t="s">
        <v>3</v>
      </c>
      <c r="H45" s="27" t="s">
        <v>4</v>
      </c>
      <c r="I45" s="27" t="s">
        <v>49</v>
      </c>
      <c r="J45" s="27" t="s">
        <v>50</v>
      </c>
      <c r="K45" s="27" t="s">
        <v>60</v>
      </c>
      <c r="L45" s="28"/>
      <c r="N45" s="24"/>
      <c r="O45" s="25"/>
      <c r="P45" s="25"/>
      <c r="Q45" s="26" t="s">
        <v>1</v>
      </c>
      <c r="R45" s="26" t="s">
        <v>2</v>
      </c>
      <c r="S45" s="27" t="s">
        <v>3</v>
      </c>
      <c r="T45" s="27" t="s">
        <v>4</v>
      </c>
      <c r="U45" s="27" t="s">
        <v>49</v>
      </c>
      <c r="V45" s="27" t="s">
        <v>50</v>
      </c>
      <c r="W45" s="27" t="s">
        <v>60</v>
      </c>
      <c r="X45" s="28"/>
    </row>
    <row r="46" spans="2:32" ht="13" x14ac:dyDescent="0.3">
      <c r="B46" s="29"/>
      <c r="C46" s="30"/>
      <c r="D46" s="30"/>
      <c r="E46" s="31"/>
      <c r="F46" s="31"/>
      <c r="G46" s="31"/>
      <c r="H46" s="31"/>
      <c r="I46" s="31"/>
      <c r="J46" s="31"/>
      <c r="K46" s="31"/>
      <c r="L46" s="32"/>
      <c r="N46" s="29"/>
      <c r="O46" s="30"/>
      <c r="P46" s="30"/>
      <c r="Q46" s="31"/>
      <c r="R46" s="31"/>
      <c r="S46" s="31"/>
      <c r="T46" s="31"/>
      <c r="U46" s="31"/>
      <c r="V46" s="31"/>
      <c r="W46" s="31"/>
      <c r="X46" s="32"/>
    </row>
    <row r="47" spans="2:32" ht="13" x14ac:dyDescent="0.3">
      <c r="B47" s="33"/>
      <c r="C47" s="6" t="s">
        <v>12</v>
      </c>
      <c r="D47" s="6"/>
      <c r="E47" s="20">
        <v>202266</v>
      </c>
      <c r="F47" s="20">
        <v>186311</v>
      </c>
      <c r="G47" s="10">
        <v>110818</v>
      </c>
      <c r="H47" s="10">
        <v>104622</v>
      </c>
      <c r="I47" s="10">
        <v>102555</v>
      </c>
      <c r="J47" s="10">
        <v>110904</v>
      </c>
      <c r="K47" s="10">
        <v>115516</v>
      </c>
      <c r="L47" s="46"/>
      <c r="N47" s="33"/>
      <c r="O47" s="6" t="s">
        <v>13</v>
      </c>
      <c r="P47" s="6"/>
      <c r="Q47" s="9">
        <v>49861</v>
      </c>
      <c r="R47" s="9">
        <v>45052</v>
      </c>
      <c r="S47" s="10">
        <v>47185</v>
      </c>
      <c r="T47" s="10">
        <v>50577</v>
      </c>
      <c r="U47" s="10">
        <v>50508</v>
      </c>
      <c r="V47" s="10">
        <v>48043</v>
      </c>
      <c r="W47" s="10">
        <v>51758</v>
      </c>
      <c r="X47" s="46"/>
      <c r="AB47" s="61"/>
      <c r="AC47" s="61"/>
      <c r="AD47" s="61"/>
      <c r="AE47" s="61"/>
      <c r="AF47" s="61"/>
    </row>
    <row r="48" spans="2:32" ht="13" x14ac:dyDescent="0.3">
      <c r="B48" s="35"/>
      <c r="C48" s="36" t="s">
        <v>14</v>
      </c>
      <c r="D48" s="36" t="s">
        <v>8</v>
      </c>
      <c r="E48" s="52">
        <v>2621</v>
      </c>
      <c r="F48" s="52">
        <v>2645</v>
      </c>
      <c r="G48" s="37">
        <v>3212</v>
      </c>
      <c r="H48" s="37">
        <v>3434</v>
      </c>
      <c r="I48" s="37">
        <v>4408</v>
      </c>
      <c r="J48" s="37">
        <v>4866</v>
      </c>
      <c r="K48" s="69">
        <v>4615</v>
      </c>
      <c r="L48" s="38"/>
      <c r="N48" s="35"/>
      <c r="O48" s="36" t="s">
        <v>15</v>
      </c>
      <c r="P48" s="36" t="s">
        <v>8</v>
      </c>
      <c r="Q48" s="37">
        <v>2098</v>
      </c>
      <c r="R48" s="37">
        <v>2134</v>
      </c>
      <c r="S48" s="37">
        <v>2311</v>
      </c>
      <c r="T48" s="37">
        <v>2302</v>
      </c>
      <c r="U48" s="37">
        <v>2907</v>
      </c>
      <c r="V48" s="37">
        <v>3421</v>
      </c>
      <c r="W48" s="69">
        <v>3310</v>
      </c>
      <c r="X48" s="38"/>
    </row>
    <row r="49" spans="2:32" ht="13" x14ac:dyDescent="0.3">
      <c r="B49" s="35"/>
      <c r="C49" s="36"/>
      <c r="D49" s="36" t="s">
        <v>5</v>
      </c>
      <c r="E49" s="52">
        <v>4209</v>
      </c>
      <c r="F49" s="52">
        <v>4250</v>
      </c>
      <c r="G49" s="37">
        <v>5174</v>
      </c>
      <c r="H49" s="37">
        <v>5448</v>
      </c>
      <c r="I49" s="37">
        <v>6997</v>
      </c>
      <c r="J49" s="37">
        <v>8127</v>
      </c>
      <c r="K49" s="69">
        <v>7852</v>
      </c>
      <c r="L49" s="38"/>
      <c r="N49" s="35"/>
      <c r="O49" s="36"/>
      <c r="P49" s="36" t="s">
        <v>5</v>
      </c>
      <c r="Q49" s="37">
        <v>3029</v>
      </c>
      <c r="R49" s="37">
        <v>3046</v>
      </c>
      <c r="S49" s="37">
        <v>3526</v>
      </c>
      <c r="T49" s="37">
        <v>3582</v>
      </c>
      <c r="U49" s="37">
        <v>4599</v>
      </c>
      <c r="V49" s="37">
        <v>5531</v>
      </c>
      <c r="W49" s="69">
        <v>5456</v>
      </c>
      <c r="X49" s="38"/>
      <c r="AB49" s="61"/>
      <c r="AE49" s="61"/>
      <c r="AF49" s="61"/>
    </row>
    <row r="50" spans="2:32" ht="13" x14ac:dyDescent="0.3">
      <c r="B50" s="35"/>
      <c r="C50" s="36"/>
      <c r="D50" s="36" t="s">
        <v>6</v>
      </c>
      <c r="E50" s="52">
        <v>1620</v>
      </c>
      <c r="F50" s="52">
        <v>1599</v>
      </c>
      <c r="G50" s="37">
        <v>1806</v>
      </c>
      <c r="H50" s="37">
        <v>2005</v>
      </c>
      <c r="I50" s="37">
        <v>2750</v>
      </c>
      <c r="J50" s="37">
        <v>2939</v>
      </c>
      <c r="K50" s="69">
        <v>2803</v>
      </c>
      <c r="L50" s="38"/>
      <c r="N50" s="35"/>
      <c r="O50" s="36"/>
      <c r="P50" s="36" t="s">
        <v>6</v>
      </c>
      <c r="Q50" s="37">
        <v>871</v>
      </c>
      <c r="R50" s="37">
        <v>859</v>
      </c>
      <c r="S50" s="37">
        <v>928</v>
      </c>
      <c r="T50" s="37">
        <v>928</v>
      </c>
      <c r="U50" s="37">
        <v>1318</v>
      </c>
      <c r="V50" s="37">
        <v>1467</v>
      </c>
      <c r="W50" s="69">
        <v>1449</v>
      </c>
      <c r="X50" s="38"/>
      <c r="AB50" s="61"/>
      <c r="AC50" s="61"/>
      <c r="AD50" s="61"/>
      <c r="AE50" s="61"/>
      <c r="AF50" s="61"/>
    </row>
    <row r="51" spans="2:32" ht="13" x14ac:dyDescent="0.3">
      <c r="B51" s="35"/>
      <c r="C51" s="36"/>
      <c r="D51" s="36" t="s">
        <v>52</v>
      </c>
      <c r="E51" s="52">
        <v>4629</v>
      </c>
      <c r="F51" s="52">
        <v>4685</v>
      </c>
      <c r="G51" s="37">
        <v>5293</v>
      </c>
      <c r="H51" s="37">
        <v>5593</v>
      </c>
      <c r="I51" s="37">
        <v>7139</v>
      </c>
      <c r="J51" s="37">
        <v>8336</v>
      </c>
      <c r="K51" s="69">
        <v>7991</v>
      </c>
      <c r="L51" s="38"/>
      <c r="N51" s="35"/>
      <c r="O51" s="36"/>
      <c r="P51" s="36" t="s">
        <v>52</v>
      </c>
      <c r="Q51" s="37">
        <v>3193</v>
      </c>
      <c r="R51" s="37">
        <v>3191</v>
      </c>
      <c r="S51" s="37">
        <v>3676</v>
      </c>
      <c r="T51" s="37">
        <v>3758</v>
      </c>
      <c r="U51" s="37">
        <v>4752</v>
      </c>
      <c r="V51" s="37">
        <v>5805</v>
      </c>
      <c r="W51" s="69">
        <v>5780</v>
      </c>
      <c r="X51" s="38"/>
      <c r="AB51" s="61"/>
      <c r="AC51" s="61"/>
      <c r="AD51" s="61"/>
      <c r="AE51" s="61"/>
      <c r="AF51" s="61"/>
    </row>
    <row r="52" spans="2:32" ht="13" x14ac:dyDescent="0.3">
      <c r="B52" s="33"/>
      <c r="C52" s="11"/>
      <c r="D52" s="11" t="s">
        <v>7</v>
      </c>
      <c r="E52" s="5">
        <v>4607</v>
      </c>
      <c r="F52" s="5">
        <v>4641</v>
      </c>
      <c r="G52" s="13">
        <v>5249</v>
      </c>
      <c r="H52" s="13">
        <v>5549</v>
      </c>
      <c r="I52" s="13">
        <v>7124</v>
      </c>
      <c r="J52" s="13">
        <v>8306</v>
      </c>
      <c r="K52" s="13">
        <v>7984</v>
      </c>
      <c r="L52" s="38"/>
      <c r="N52" s="33"/>
      <c r="O52" s="11"/>
      <c r="P52" s="11" t="s">
        <v>7</v>
      </c>
      <c r="Q52" s="12">
        <v>2632</v>
      </c>
      <c r="R52" s="12">
        <v>2648</v>
      </c>
      <c r="S52" s="13">
        <v>3114</v>
      </c>
      <c r="T52" s="13">
        <v>3184</v>
      </c>
      <c r="U52" s="13">
        <v>4057</v>
      </c>
      <c r="V52" s="13">
        <v>4920</v>
      </c>
      <c r="W52" s="13">
        <v>4940</v>
      </c>
      <c r="X52" s="38"/>
      <c r="AB52" s="61"/>
      <c r="AC52" s="61"/>
      <c r="AD52" s="61"/>
      <c r="AE52" s="61"/>
      <c r="AF52" s="61"/>
    </row>
    <row r="53" spans="2:32" ht="13" x14ac:dyDescent="0.3">
      <c r="B53" s="39"/>
      <c r="C53" s="36" t="s">
        <v>16</v>
      </c>
      <c r="D53" s="36" t="s">
        <v>5</v>
      </c>
      <c r="E53" s="48">
        <v>0.14599999999999999</v>
      </c>
      <c r="F53" s="48">
        <f>28345/F47</f>
        <v>0.15213809168540773</v>
      </c>
      <c r="G53" s="14">
        <f>20532/G47</f>
        <v>0.18527676009312566</v>
      </c>
      <c r="H53" s="14">
        <v>0.19</v>
      </c>
      <c r="I53" s="48">
        <f>18011/I47</f>
        <v>0.17562283652674174</v>
      </c>
      <c r="J53" s="48">
        <f>18088/J47</f>
        <v>0.16309601096443771</v>
      </c>
      <c r="K53" s="70">
        <f>17874/K47</f>
        <v>0.15473181204335329</v>
      </c>
      <c r="L53" s="47"/>
      <c r="N53" s="39"/>
      <c r="O53" s="36" t="s">
        <v>16</v>
      </c>
      <c r="P53" s="36" t="s">
        <v>5</v>
      </c>
      <c r="Q53" s="40">
        <v>0.252</v>
      </c>
      <c r="R53" s="40">
        <f>11684/R47</f>
        <v>0.25934475716949301</v>
      </c>
      <c r="S53" s="14">
        <f>11841/S47</f>
        <v>0.25094839461693336</v>
      </c>
      <c r="T53" s="14">
        <f>12117/T47</f>
        <v>0.23957530102615812</v>
      </c>
      <c r="U53" s="14">
        <f>11405/U47</f>
        <v>0.22580581294052426</v>
      </c>
      <c r="V53" s="14">
        <f>10779/V47</f>
        <v>0.22436150948108985</v>
      </c>
      <c r="W53" s="14">
        <f>11132/W47</f>
        <v>0.21507786235944201</v>
      </c>
      <c r="X53" s="47"/>
      <c r="AB53" s="61"/>
      <c r="AC53" s="61"/>
      <c r="AD53" s="61"/>
      <c r="AE53" s="61"/>
      <c r="AF53" s="61"/>
    </row>
    <row r="54" spans="2:32" ht="13" x14ac:dyDescent="0.3">
      <c r="B54" s="39"/>
      <c r="C54" s="36"/>
      <c r="D54" s="36" t="s">
        <v>6</v>
      </c>
      <c r="E54" s="48">
        <v>0.64600000000000002</v>
      </c>
      <c r="F54" s="48">
        <f>118939/F47</f>
        <v>0.63838957442126332</v>
      </c>
      <c r="G54" s="48">
        <f>65363/G47</f>
        <v>0.58982295294988174</v>
      </c>
      <c r="H54" s="48">
        <f>62089/H47</f>
        <v>0.59346026648314887</v>
      </c>
      <c r="I54" s="48">
        <f>63202/I47</f>
        <v>0.61627419433474717</v>
      </c>
      <c r="J54" s="48">
        <f>70583/J47</f>
        <v>0.63643331169299577</v>
      </c>
      <c r="K54" s="70">
        <f>74687/K47</f>
        <v>0.64655112711658991</v>
      </c>
      <c r="L54" s="47"/>
      <c r="N54" s="39"/>
      <c r="O54" s="36"/>
      <c r="P54" s="36" t="s">
        <v>6</v>
      </c>
      <c r="Q54" s="40">
        <v>0.436</v>
      </c>
      <c r="R54" s="40">
        <f>19017/R47</f>
        <v>0.42211222587232533</v>
      </c>
      <c r="S54" s="48">
        <f>22144/S47</f>
        <v>0.46930168485747592</v>
      </c>
      <c r="T54" s="48">
        <f>24541/T47</f>
        <v>0.48522055479763526</v>
      </c>
      <c r="U54" s="48">
        <f>25894/U47</f>
        <v>0.51267125999841612</v>
      </c>
      <c r="V54" s="48">
        <f>25061/V47</f>
        <v>0.52163686697333633</v>
      </c>
      <c r="W54" s="70">
        <f>28050/W47</f>
        <v>0.54194520653811973</v>
      </c>
      <c r="X54" s="47"/>
    </row>
    <row r="55" spans="2:32" ht="13" x14ac:dyDescent="0.3">
      <c r="B55" s="39"/>
      <c r="C55" s="36"/>
      <c r="D55" s="36" t="s">
        <v>52</v>
      </c>
      <c r="E55" s="48">
        <v>0.13300000000000001</v>
      </c>
      <c r="F55" s="48">
        <f>25467/F47</f>
        <v>0.1366908019386939</v>
      </c>
      <c r="G55" s="48">
        <f>18297/G47</f>
        <v>0.16510855637170857</v>
      </c>
      <c r="H55" s="48">
        <f>16532/H47</f>
        <v>0.15801647836975014</v>
      </c>
      <c r="I55" s="48">
        <f>14776/I47</f>
        <v>0.14407878699234558</v>
      </c>
      <c r="J55" s="48">
        <f>15440/J47</f>
        <v>0.1392195051576138</v>
      </c>
      <c r="K55" s="70">
        <f>15977/K47</f>
        <v>0.13830984452370235</v>
      </c>
      <c r="L55" s="47"/>
      <c r="N55" s="39"/>
      <c r="O55" s="36"/>
      <c r="P55" s="36" t="s">
        <v>52</v>
      </c>
      <c r="Q55" s="40">
        <v>0.22600000000000001</v>
      </c>
      <c r="R55" s="40">
        <f>10719/R47</f>
        <v>0.23792506437006125</v>
      </c>
      <c r="S55" s="48">
        <f>10055/S47</f>
        <v>0.21309738264278902</v>
      </c>
      <c r="T55" s="48">
        <f>10348/T47</f>
        <v>0.20459892836664886</v>
      </c>
      <c r="U55" s="48">
        <f>9562/U47</f>
        <v>0.18931654391383543</v>
      </c>
      <c r="V55" s="48">
        <f>8953/V47</f>
        <v>0.18635389130570532</v>
      </c>
      <c r="W55" s="70">
        <f>8720/W47</f>
        <v>0.16847637080258124</v>
      </c>
      <c r="X55" s="47"/>
    </row>
    <row r="56" spans="2:32" ht="13" x14ac:dyDescent="0.3">
      <c r="B56" s="39"/>
      <c r="C56" s="6"/>
      <c r="D56" s="6" t="s">
        <v>7</v>
      </c>
      <c r="E56" s="15">
        <v>6.7000000000000004E-2</v>
      </c>
      <c r="F56" s="15">
        <f>12004/F47</f>
        <v>6.4429904836536753E-2</v>
      </c>
      <c r="G56" s="48">
        <f>6642/G47</f>
        <v>5.9936111462036853E-2</v>
      </c>
      <c r="H56" s="48">
        <f>6708/H47</f>
        <v>6.4116533807420995E-2</v>
      </c>
      <c r="I56" s="48">
        <f>6566/I47</f>
        <v>6.4024182146165468E-2</v>
      </c>
      <c r="J56" s="48">
        <f>6793/J47</f>
        <v>6.1251172184952754E-2</v>
      </c>
      <c r="K56" s="70">
        <f>6978/K47</f>
        <v>6.0407216316354442E-2</v>
      </c>
      <c r="L56" s="47"/>
      <c r="N56" s="39"/>
      <c r="O56" s="6"/>
      <c r="P56" s="6" t="s">
        <v>7</v>
      </c>
      <c r="Q56" s="16">
        <v>7.0000000000000007E-2</v>
      </c>
      <c r="R56" s="16">
        <f>2891/R47</f>
        <v>6.4170292106898688E-2</v>
      </c>
      <c r="S56" s="48">
        <f>3145/S47</f>
        <v>6.6652537882801732E-2</v>
      </c>
      <c r="T56" s="48">
        <f>3571/T47</f>
        <v>7.0605215809557698E-2</v>
      </c>
      <c r="U56" s="48">
        <f>3647/U47</f>
        <v>7.2206383147224204E-2</v>
      </c>
      <c r="V56" s="48">
        <f>3250/V47</f>
        <v>6.7647732239868447E-2</v>
      </c>
      <c r="W56" s="70">
        <f>3282/W47</f>
        <v>6.3410487267668764E-2</v>
      </c>
      <c r="X56" s="47"/>
    </row>
    <row r="57" spans="2:32" ht="13" x14ac:dyDescent="0.3">
      <c r="B57" s="39"/>
      <c r="C57" s="36" t="s">
        <v>17</v>
      </c>
      <c r="D57" s="36" t="s">
        <v>9</v>
      </c>
      <c r="E57" s="48">
        <v>0.499</v>
      </c>
      <c r="F57" s="48">
        <v>0.48499999999999999</v>
      </c>
      <c r="G57" s="14">
        <v>0.44400000000000001</v>
      </c>
      <c r="H57" s="14">
        <v>0.45300000000000001</v>
      </c>
      <c r="I57" s="14">
        <v>0.48</v>
      </c>
      <c r="J57" s="14">
        <v>0.52200000000000002</v>
      </c>
      <c r="K57" s="14">
        <v>0.46</v>
      </c>
      <c r="L57" s="47"/>
      <c r="N57" s="39"/>
      <c r="O57" s="36" t="s">
        <v>17</v>
      </c>
      <c r="P57" s="36" t="s">
        <v>9</v>
      </c>
      <c r="Q57" s="40">
        <v>0.27</v>
      </c>
      <c r="R57" s="40">
        <v>0.252</v>
      </c>
      <c r="S57" s="14">
        <v>0.28599999999999998</v>
      </c>
      <c r="T57" s="14">
        <v>0.32500000000000001</v>
      </c>
      <c r="U57" s="14">
        <v>0.35</v>
      </c>
      <c r="V57" s="14">
        <v>0.35799999999999998</v>
      </c>
      <c r="W57" s="14">
        <v>0.29699999999999999</v>
      </c>
      <c r="X57" s="47"/>
    </row>
    <row r="58" spans="2:32" ht="13" x14ac:dyDescent="0.3">
      <c r="B58" s="39"/>
      <c r="C58" s="36"/>
      <c r="D58" s="36" t="s">
        <v>18</v>
      </c>
      <c r="E58" s="48">
        <v>0.218</v>
      </c>
      <c r="F58" s="48">
        <v>0.217</v>
      </c>
      <c r="G58" s="48">
        <v>0.20300000000000001</v>
      </c>
      <c r="H58" s="48">
        <v>0.19500000000000001</v>
      </c>
      <c r="I58" s="48">
        <v>0.19</v>
      </c>
      <c r="J58" s="48">
        <v>0.17699999999999999</v>
      </c>
      <c r="K58" s="70">
        <v>0.2</v>
      </c>
      <c r="L58" s="47"/>
      <c r="N58" s="39"/>
      <c r="O58" s="36"/>
      <c r="P58" s="36" t="s">
        <v>18</v>
      </c>
      <c r="Q58" s="40">
        <v>0.26</v>
      </c>
      <c r="R58" s="40">
        <v>0.25900000000000001</v>
      </c>
      <c r="S58" s="48">
        <v>0.23699999999999999</v>
      </c>
      <c r="T58" s="48">
        <v>0.22</v>
      </c>
      <c r="U58" s="48">
        <v>0.218</v>
      </c>
      <c r="V58" s="48">
        <v>0.218</v>
      </c>
      <c r="W58" s="70">
        <v>0.254</v>
      </c>
      <c r="X58" s="47"/>
    </row>
    <row r="59" spans="2:32" ht="13" x14ac:dyDescent="0.3">
      <c r="B59" s="33"/>
      <c r="C59" s="11"/>
      <c r="D59" s="11" t="s">
        <v>19</v>
      </c>
      <c r="E59" s="15">
        <v>0.28199999999999997</v>
      </c>
      <c r="F59" s="15">
        <v>0.28999999999999998</v>
      </c>
      <c r="G59" s="48">
        <v>0.36</v>
      </c>
      <c r="H59" s="48">
        <v>0.35</v>
      </c>
      <c r="I59" s="48">
        <v>0.33</v>
      </c>
      <c r="J59" s="48">
        <f>1-J58-J57</f>
        <v>0.30099999999999993</v>
      </c>
      <c r="K59" s="70">
        <f>1-K58-K57</f>
        <v>0.34</v>
      </c>
      <c r="L59" s="47"/>
      <c r="N59" s="33"/>
      <c r="O59" s="11"/>
      <c r="P59" s="11" t="s">
        <v>19</v>
      </c>
      <c r="Q59" s="18">
        <v>0.46</v>
      </c>
      <c r="R59" s="18">
        <v>0.48899999999999999</v>
      </c>
      <c r="S59" s="48">
        <v>0.47</v>
      </c>
      <c r="T59" s="48">
        <v>0.45</v>
      </c>
      <c r="U59" s="48">
        <v>0.43</v>
      </c>
      <c r="V59" s="48">
        <v>0.42</v>
      </c>
      <c r="W59" s="70">
        <v>0.45</v>
      </c>
      <c r="X59" s="47"/>
    </row>
    <row r="60" spans="2:32" ht="13" x14ac:dyDescent="0.3">
      <c r="B60" s="39"/>
      <c r="C60" s="36" t="s">
        <v>20</v>
      </c>
      <c r="D60" s="36" t="s">
        <v>21</v>
      </c>
      <c r="E60" s="48">
        <v>0.28000000000000003</v>
      </c>
      <c r="F60" s="48">
        <v>0.28199999999999997</v>
      </c>
      <c r="G60" s="14">
        <v>0.25900000000000001</v>
      </c>
      <c r="H60" s="14">
        <v>0.251</v>
      </c>
      <c r="I60" s="14">
        <v>0.26</v>
      </c>
      <c r="J60" s="14">
        <v>0.27400000000000002</v>
      </c>
      <c r="K60" s="14">
        <v>0.27</v>
      </c>
      <c r="L60" s="47"/>
      <c r="N60" s="39"/>
      <c r="O60" s="36" t="s">
        <v>20</v>
      </c>
      <c r="P60" s="36" t="s">
        <v>21</v>
      </c>
      <c r="Q60" s="40">
        <v>0.3</v>
      </c>
      <c r="R60" s="40">
        <v>0.311</v>
      </c>
      <c r="S60" s="14">
        <v>0.23499999999999999</v>
      </c>
      <c r="T60" s="14">
        <v>0.23499999999999999</v>
      </c>
      <c r="U60" s="14">
        <v>0.24</v>
      </c>
      <c r="V60" s="14">
        <v>0.24299999999999999</v>
      </c>
      <c r="W60" s="14">
        <v>0.252</v>
      </c>
      <c r="X60" s="47"/>
    </row>
    <row r="61" spans="2:32" ht="13" x14ac:dyDescent="0.3">
      <c r="B61" s="39"/>
      <c r="C61" s="36"/>
      <c r="D61" s="36" t="s">
        <v>22</v>
      </c>
      <c r="E61" s="48">
        <v>0.378</v>
      </c>
      <c r="F61" s="48">
        <v>0.379</v>
      </c>
      <c r="G61" s="48">
        <v>0.40699999999999997</v>
      </c>
      <c r="H61" s="48">
        <v>0.40600000000000003</v>
      </c>
      <c r="I61" s="48">
        <v>0.39700000000000002</v>
      </c>
      <c r="J61" s="48">
        <v>0.38800000000000001</v>
      </c>
      <c r="K61" s="70">
        <v>0.4</v>
      </c>
      <c r="L61" s="47"/>
      <c r="N61" s="39"/>
      <c r="O61" s="36"/>
      <c r="P61" s="36" t="s">
        <v>22</v>
      </c>
      <c r="Q61" s="40">
        <v>0.38</v>
      </c>
      <c r="R61" s="40">
        <v>0.378</v>
      </c>
      <c r="S61" s="48">
        <v>0.435</v>
      </c>
      <c r="T61" s="48">
        <v>0.42099999999999999</v>
      </c>
      <c r="U61" s="48">
        <v>0.41599999999999998</v>
      </c>
      <c r="V61" s="48">
        <v>0.41499999999999998</v>
      </c>
      <c r="W61" s="70">
        <v>0.40600000000000003</v>
      </c>
      <c r="X61" s="47"/>
    </row>
    <row r="62" spans="2:32" ht="13" x14ac:dyDescent="0.3">
      <c r="B62" s="39"/>
      <c r="C62" s="6"/>
      <c r="D62" s="6" t="s">
        <v>23</v>
      </c>
      <c r="E62" s="15">
        <v>0.34300000000000003</v>
      </c>
      <c r="F62" s="15">
        <v>0.33900000000000002</v>
      </c>
      <c r="G62" s="48">
        <v>0.33400000000000002</v>
      </c>
      <c r="H62" s="48">
        <v>0.34200000000000003</v>
      </c>
      <c r="I62" s="48">
        <v>0.34300000000000003</v>
      </c>
      <c r="J62" s="48">
        <v>0.33800000000000002</v>
      </c>
      <c r="K62" s="70">
        <v>0.33</v>
      </c>
      <c r="L62" s="47"/>
      <c r="N62" s="39"/>
      <c r="O62" s="6"/>
      <c r="P62" s="6" t="s">
        <v>23</v>
      </c>
      <c r="Q62" s="16">
        <v>0.32</v>
      </c>
      <c r="R62" s="16">
        <v>0.311</v>
      </c>
      <c r="S62" s="48">
        <v>0.32</v>
      </c>
      <c r="T62" s="48">
        <v>0.34</v>
      </c>
      <c r="U62" s="48">
        <v>0.34</v>
      </c>
      <c r="V62" s="48">
        <v>0.34</v>
      </c>
      <c r="W62" s="70">
        <v>0.34</v>
      </c>
      <c r="X62" s="47"/>
    </row>
    <row r="63" spans="2:32" ht="13" x14ac:dyDescent="0.3">
      <c r="B63" s="39"/>
      <c r="C63" s="36" t="s">
        <v>33</v>
      </c>
      <c r="D63" s="36" t="s">
        <v>34</v>
      </c>
      <c r="E63" s="57">
        <v>30.7</v>
      </c>
      <c r="F63" s="57">
        <v>30.5</v>
      </c>
      <c r="G63" s="19">
        <v>29.1</v>
      </c>
      <c r="H63" s="19">
        <v>30.4</v>
      </c>
      <c r="I63" s="19">
        <v>30.7</v>
      </c>
      <c r="J63" s="19">
        <v>31</v>
      </c>
      <c r="K63" s="19">
        <v>31</v>
      </c>
      <c r="L63" s="51"/>
      <c r="N63" s="39"/>
      <c r="O63" s="36" t="s">
        <v>33</v>
      </c>
      <c r="P63" s="36" t="s">
        <v>34</v>
      </c>
      <c r="Q63" s="49">
        <v>31</v>
      </c>
      <c r="R63" s="50">
        <v>30.4</v>
      </c>
      <c r="S63" s="19">
        <v>28.6</v>
      </c>
      <c r="T63" s="19">
        <v>29.8</v>
      </c>
      <c r="U63" s="19">
        <v>29.9</v>
      </c>
      <c r="V63" s="19">
        <v>30</v>
      </c>
      <c r="W63" s="19">
        <v>30</v>
      </c>
      <c r="X63" s="51"/>
    </row>
    <row r="64" spans="2:32" ht="13" x14ac:dyDescent="0.3">
      <c r="B64" s="39"/>
      <c r="C64" s="36"/>
      <c r="D64" s="36" t="s">
        <v>26</v>
      </c>
      <c r="E64" s="48">
        <v>0.17699999999999999</v>
      </c>
      <c r="F64" s="48">
        <v>0.17299999999999999</v>
      </c>
      <c r="G64" s="48">
        <v>0.156</v>
      </c>
      <c r="H64" s="48">
        <v>0.14799999999999999</v>
      </c>
      <c r="I64" s="48">
        <v>0.14099999999999999</v>
      </c>
      <c r="J64" s="48">
        <v>0.13500000000000001</v>
      </c>
      <c r="K64" s="74">
        <v>0.122</v>
      </c>
      <c r="L64" s="47"/>
      <c r="N64" s="39"/>
      <c r="O64" s="36"/>
      <c r="P64" s="36" t="s">
        <v>26</v>
      </c>
      <c r="Q64" s="40">
        <v>0.18</v>
      </c>
      <c r="R64" s="40">
        <v>0.17599999999999999</v>
      </c>
      <c r="S64" s="48">
        <v>0.16600000000000001</v>
      </c>
      <c r="T64" s="48">
        <v>0.158</v>
      </c>
      <c r="U64" s="48">
        <v>0.153</v>
      </c>
      <c r="V64" s="48">
        <v>0.151</v>
      </c>
      <c r="W64" s="70">
        <v>0.13900000000000001</v>
      </c>
      <c r="X64" s="47"/>
    </row>
    <row r="65" spans="2:32" ht="13" x14ac:dyDescent="0.3">
      <c r="B65" s="39"/>
      <c r="C65" s="36"/>
      <c r="D65" s="36" t="s">
        <v>27</v>
      </c>
      <c r="E65" s="48">
        <v>0.54300000000000004</v>
      </c>
      <c r="F65" s="48">
        <v>0.54700000000000004</v>
      </c>
      <c r="G65" s="48">
        <v>0.68500000000000005</v>
      </c>
      <c r="H65" s="48">
        <v>0.69</v>
      </c>
      <c r="I65" s="48">
        <v>0.65200000000000002</v>
      </c>
      <c r="J65" s="48">
        <v>0.61399999999999999</v>
      </c>
      <c r="K65" s="74">
        <v>5.1999999999999998E-2</v>
      </c>
      <c r="L65" s="47"/>
      <c r="N65" s="39"/>
      <c r="O65" s="52"/>
      <c r="P65" s="36" t="s">
        <v>27</v>
      </c>
      <c r="Q65" s="40">
        <v>0.62</v>
      </c>
      <c r="R65" s="40">
        <v>0.61399999999999999</v>
      </c>
      <c r="S65" s="48">
        <v>0.74299999999999999</v>
      </c>
      <c r="T65" s="48">
        <v>0.745</v>
      </c>
      <c r="U65" s="48">
        <v>0.72099999999999997</v>
      </c>
      <c r="V65" s="48">
        <v>0.69899999999999995</v>
      </c>
      <c r="W65" s="74">
        <v>5.8000000000000003E-2</v>
      </c>
      <c r="X65" s="47"/>
    </row>
    <row r="66" spans="2:32" ht="13" x14ac:dyDescent="0.3">
      <c r="B66" s="39"/>
      <c r="C66" s="36"/>
      <c r="D66" s="36" t="s">
        <v>62</v>
      </c>
      <c r="E66" s="52">
        <v>1340</v>
      </c>
      <c r="F66" s="52">
        <v>1416</v>
      </c>
      <c r="G66" s="52">
        <v>3164</v>
      </c>
      <c r="H66" s="52">
        <v>3562</v>
      </c>
      <c r="I66" s="52">
        <v>3731</v>
      </c>
      <c r="J66" s="52">
        <v>3888</v>
      </c>
      <c r="K66" s="75">
        <v>12046</v>
      </c>
      <c r="L66" s="53"/>
      <c r="N66" s="39"/>
      <c r="O66" s="36"/>
      <c r="P66" s="36" t="s">
        <v>62</v>
      </c>
      <c r="Q66" s="37">
        <v>1424</v>
      </c>
      <c r="R66" s="37">
        <v>1501.2299999999998</v>
      </c>
      <c r="S66" s="52">
        <v>3060</v>
      </c>
      <c r="T66" s="52">
        <v>3958</v>
      </c>
      <c r="U66" s="52">
        <v>3985</v>
      </c>
      <c r="V66" s="52">
        <v>3842</v>
      </c>
      <c r="W66" s="75">
        <v>11777</v>
      </c>
      <c r="X66" s="53"/>
      <c r="AB66" s="61"/>
      <c r="AC66" s="61"/>
      <c r="AD66" s="61"/>
      <c r="AE66" s="61"/>
      <c r="AF66" s="61"/>
    </row>
    <row r="67" spans="2:32" ht="13" x14ac:dyDescent="0.3">
      <c r="B67" s="39"/>
      <c r="C67" s="36"/>
      <c r="D67" s="36" t="s">
        <v>28</v>
      </c>
      <c r="E67" s="48">
        <v>0.79300000000000004</v>
      </c>
      <c r="F67" s="48">
        <v>0.79500000000000004</v>
      </c>
      <c r="G67" s="48">
        <v>0.84499999999999997</v>
      </c>
      <c r="H67" s="48">
        <v>0.84099999999999997</v>
      </c>
      <c r="I67" s="48">
        <v>0.81</v>
      </c>
      <c r="J67" s="48">
        <v>0.79100000000000004</v>
      </c>
      <c r="K67" s="74">
        <v>0.73299999999999998</v>
      </c>
      <c r="L67" s="47"/>
      <c r="N67" s="39"/>
      <c r="O67" s="36"/>
      <c r="P67" s="36" t="s">
        <v>28</v>
      </c>
      <c r="Q67" s="40">
        <v>0.82</v>
      </c>
      <c r="R67" s="40">
        <v>0.80800000000000005</v>
      </c>
      <c r="S67" s="48">
        <v>0.88</v>
      </c>
      <c r="T67" s="48">
        <v>0.87</v>
      </c>
      <c r="U67" s="48">
        <v>0.85199999999999998</v>
      </c>
      <c r="V67" s="48">
        <v>0.84599999999999997</v>
      </c>
      <c r="W67" s="74">
        <v>0.77400000000000002</v>
      </c>
      <c r="X67" s="47"/>
      <c r="AB67" s="61"/>
      <c r="AC67" s="61"/>
      <c r="AD67" s="61"/>
      <c r="AE67" s="61"/>
      <c r="AF67" s="61"/>
    </row>
    <row r="68" spans="2:32" ht="13" x14ac:dyDescent="0.3">
      <c r="B68" s="39"/>
      <c r="C68" s="21"/>
      <c r="D68" s="6" t="s">
        <v>36</v>
      </c>
      <c r="E68" s="5">
        <v>15311</v>
      </c>
      <c r="F68" s="5">
        <v>15665</v>
      </c>
      <c r="G68" s="52">
        <v>19064</v>
      </c>
      <c r="H68" s="52">
        <v>19309</v>
      </c>
      <c r="I68" s="52">
        <v>19463</v>
      </c>
      <c r="J68" s="52">
        <v>20206</v>
      </c>
      <c r="K68" s="75">
        <v>26897</v>
      </c>
      <c r="L68" s="53"/>
      <c r="N68" s="39"/>
      <c r="O68" s="36"/>
      <c r="P68" s="6" t="s">
        <v>36</v>
      </c>
      <c r="Q68" s="12">
        <v>15613</v>
      </c>
      <c r="R68" s="12">
        <v>15541</v>
      </c>
      <c r="S68" s="52">
        <v>19796</v>
      </c>
      <c r="T68" s="52">
        <v>20178</v>
      </c>
      <c r="U68" s="52">
        <v>20766</v>
      </c>
      <c r="V68" s="52">
        <v>22140</v>
      </c>
      <c r="W68" s="75">
        <v>27324</v>
      </c>
      <c r="X68" s="53"/>
      <c r="AB68" s="61"/>
      <c r="AC68" s="61"/>
      <c r="AD68" s="61"/>
      <c r="AE68" s="61"/>
      <c r="AF68" s="61"/>
    </row>
    <row r="69" spans="2:32" ht="13" x14ac:dyDescent="0.3">
      <c r="B69" s="39"/>
      <c r="C69" s="4" t="s">
        <v>37</v>
      </c>
      <c r="D69" s="4" t="s">
        <v>51</v>
      </c>
      <c r="E69" s="48">
        <v>0.77200000000000002</v>
      </c>
      <c r="F69" s="48">
        <v>0.77800000000000002</v>
      </c>
      <c r="G69" s="22">
        <v>0.71799999999999997</v>
      </c>
      <c r="H69" s="22">
        <v>0.72299999999999998</v>
      </c>
      <c r="I69" s="22">
        <v>0.72099999999999997</v>
      </c>
      <c r="J69" s="22">
        <v>0.74299999999999999</v>
      </c>
      <c r="K69" s="80">
        <v>0.873</v>
      </c>
      <c r="L69" s="54"/>
      <c r="N69" s="39"/>
      <c r="O69" s="4" t="s">
        <v>37</v>
      </c>
      <c r="P69" s="4" t="s">
        <v>51</v>
      </c>
      <c r="Q69" s="40">
        <v>0.745</v>
      </c>
      <c r="R69" s="40">
        <v>0.75900000000000001</v>
      </c>
      <c r="S69" s="14">
        <v>0.67700000000000005</v>
      </c>
      <c r="T69" s="14">
        <v>0.69</v>
      </c>
      <c r="U69" s="14">
        <v>0.68600000000000005</v>
      </c>
      <c r="V69" s="14">
        <v>0.7</v>
      </c>
      <c r="W69" s="79">
        <v>0.85499999999999998</v>
      </c>
      <c r="X69" s="54"/>
    </row>
    <row r="70" spans="2:32" ht="13" x14ac:dyDescent="0.3">
      <c r="B70" s="39"/>
      <c r="C70" s="36"/>
      <c r="D70" s="36" t="s">
        <v>38</v>
      </c>
      <c r="E70" s="52">
        <v>558</v>
      </c>
      <c r="F70" s="52">
        <v>553</v>
      </c>
      <c r="G70" s="37">
        <v>822</v>
      </c>
      <c r="H70" s="37">
        <v>821</v>
      </c>
      <c r="I70" s="37">
        <v>862</v>
      </c>
      <c r="J70" s="37">
        <v>815</v>
      </c>
      <c r="K70" s="81">
        <v>-723</v>
      </c>
      <c r="L70" s="54"/>
      <c r="N70" s="39"/>
      <c r="O70" s="36"/>
      <c r="P70" s="36" t="s">
        <v>38</v>
      </c>
      <c r="Q70" s="37">
        <v>654</v>
      </c>
      <c r="R70" s="37">
        <v>645</v>
      </c>
      <c r="S70" s="37">
        <v>966</v>
      </c>
      <c r="T70" s="37">
        <v>938</v>
      </c>
      <c r="U70" s="37">
        <v>992</v>
      </c>
      <c r="V70" s="37">
        <v>976</v>
      </c>
      <c r="W70" s="81">
        <v>-603</v>
      </c>
      <c r="X70" s="54"/>
    </row>
    <row r="71" spans="2:32" ht="13" x14ac:dyDescent="0.3">
      <c r="B71" s="39"/>
      <c r="C71" s="36"/>
      <c r="D71" s="36" t="s">
        <v>39</v>
      </c>
      <c r="E71" s="5">
        <v>2284</v>
      </c>
      <c r="F71" s="5">
        <v>2286</v>
      </c>
      <c r="G71" s="12">
        <v>2608</v>
      </c>
      <c r="H71" s="12">
        <v>2618</v>
      </c>
      <c r="I71" s="12">
        <v>2686</v>
      </c>
      <c r="J71" s="12">
        <v>2648</v>
      </c>
      <c r="K71" s="12">
        <v>2364</v>
      </c>
      <c r="L71" s="51"/>
      <c r="N71" s="39"/>
      <c r="O71" s="36"/>
      <c r="P71" s="36" t="s">
        <v>39</v>
      </c>
      <c r="Q71" s="12">
        <v>2392</v>
      </c>
      <c r="R71" s="12">
        <v>2405</v>
      </c>
      <c r="S71" s="12">
        <v>2760</v>
      </c>
      <c r="T71" s="12">
        <v>2751</v>
      </c>
      <c r="U71" s="12">
        <v>2832</v>
      </c>
      <c r="V71" s="12">
        <v>2834</v>
      </c>
      <c r="W71" s="82">
        <v>2467</v>
      </c>
      <c r="X71" s="51"/>
    </row>
    <row r="72" spans="2:32" ht="13" x14ac:dyDescent="0.3">
      <c r="B72" s="39"/>
      <c r="C72" s="4" t="s">
        <v>30</v>
      </c>
      <c r="D72" s="4" t="s">
        <v>31</v>
      </c>
      <c r="E72" s="36">
        <v>2.2999999999999998</v>
      </c>
      <c r="F72" s="36">
        <v>2.2999999999999998</v>
      </c>
      <c r="G72" s="43">
        <v>2.2999999999999998</v>
      </c>
      <c r="H72" s="43">
        <v>2.2999999999999998</v>
      </c>
      <c r="I72" s="43">
        <v>2.2000000000000002</v>
      </c>
      <c r="J72" s="43">
        <v>2.2000000000000002</v>
      </c>
      <c r="K72" s="72">
        <v>2.2999999999999998</v>
      </c>
      <c r="L72" s="47"/>
      <c r="N72" s="39"/>
      <c r="O72" s="4" t="s">
        <v>30</v>
      </c>
      <c r="P72" s="4" t="s">
        <v>31</v>
      </c>
      <c r="Q72" s="43">
        <v>2.2000000000000002</v>
      </c>
      <c r="R72" s="43">
        <v>2.2000000000000002</v>
      </c>
      <c r="S72" s="43">
        <v>2.1</v>
      </c>
      <c r="T72" s="43">
        <v>2.2000000000000002</v>
      </c>
      <c r="U72" s="43">
        <v>2.2000000000000002</v>
      </c>
      <c r="V72" s="43">
        <v>2.2000000000000002</v>
      </c>
      <c r="W72" s="77">
        <v>2.2000000000000002</v>
      </c>
      <c r="X72" s="47"/>
    </row>
    <row r="73" spans="2:32" ht="13" x14ac:dyDescent="0.3">
      <c r="B73" s="39"/>
      <c r="C73" s="36"/>
      <c r="D73" s="36" t="s">
        <v>32</v>
      </c>
      <c r="E73" s="36">
        <v>1.1000000000000001</v>
      </c>
      <c r="F73" s="36">
        <v>1.1000000000000001</v>
      </c>
      <c r="G73" s="43">
        <v>1.1000000000000001</v>
      </c>
      <c r="H73" s="43">
        <v>1.1000000000000001</v>
      </c>
      <c r="I73" s="43">
        <v>1.1000000000000001</v>
      </c>
      <c r="J73" s="43">
        <v>1.1000000000000001</v>
      </c>
      <c r="K73" s="72" t="s">
        <v>61</v>
      </c>
      <c r="L73" s="53"/>
      <c r="N73" s="39"/>
      <c r="O73" s="36"/>
      <c r="P73" s="36" t="s">
        <v>32</v>
      </c>
      <c r="Q73" s="43">
        <v>1.1000000000000001</v>
      </c>
      <c r="R73" s="43">
        <v>1.1000000000000001</v>
      </c>
      <c r="S73" s="43">
        <v>1.1000000000000001</v>
      </c>
      <c r="T73" s="43">
        <v>1.1000000000000001</v>
      </c>
      <c r="U73" s="43">
        <v>1.1000000000000001</v>
      </c>
      <c r="V73" s="43">
        <v>1.1000000000000001</v>
      </c>
      <c r="W73" s="72" t="s">
        <v>61</v>
      </c>
      <c r="X73" s="53"/>
    </row>
    <row r="74" spans="2:32" ht="13.5" thickBot="1" x14ac:dyDescent="0.35">
      <c r="B74" s="63"/>
      <c r="C74" s="64"/>
      <c r="D74" s="64"/>
      <c r="E74" s="64"/>
      <c r="F74" s="65"/>
      <c r="G74" s="65"/>
      <c r="H74" s="65"/>
      <c r="I74" s="65"/>
      <c r="J74" s="64"/>
      <c r="K74" s="55"/>
      <c r="L74" s="56"/>
      <c r="N74" s="63"/>
      <c r="O74" s="64"/>
      <c r="P74" s="64"/>
      <c r="Q74" s="65" t="s">
        <v>42</v>
      </c>
      <c r="R74" s="65"/>
      <c r="S74" s="65"/>
      <c r="T74" s="65"/>
      <c r="U74" s="45"/>
      <c r="V74" s="64"/>
      <c r="W74" s="55"/>
      <c r="X74" s="56"/>
    </row>
    <row r="75" spans="2:32" ht="13" x14ac:dyDescent="0.3">
      <c r="C75" s="7" t="s">
        <v>63</v>
      </c>
      <c r="O75" s="7" t="s">
        <v>63</v>
      </c>
    </row>
    <row r="77" spans="2:32" ht="18" x14ac:dyDescent="0.4">
      <c r="B77" s="1" t="s">
        <v>58</v>
      </c>
      <c r="E77" s="1" t="s">
        <v>0</v>
      </c>
      <c r="F77" s="8"/>
      <c r="N77" s="1" t="s">
        <v>59</v>
      </c>
      <c r="R77" s="1"/>
    </row>
    <row r="78" spans="2:32" ht="18" x14ac:dyDescent="0.4">
      <c r="B78" s="1" t="s">
        <v>43</v>
      </c>
      <c r="D78" s="8"/>
      <c r="E78" s="1"/>
      <c r="F78" s="1"/>
      <c r="G78" s="1"/>
      <c r="H78" s="1"/>
      <c r="I78" s="1"/>
      <c r="N78" s="1" t="s">
        <v>44</v>
      </c>
      <c r="P78" s="8"/>
      <c r="Q78" s="1"/>
      <c r="R78" s="1"/>
      <c r="S78" s="1"/>
      <c r="T78" s="1"/>
      <c r="U78" s="1"/>
    </row>
    <row r="79" spans="2:32" ht="17.5" x14ac:dyDescent="0.35">
      <c r="B79" s="1" t="s">
        <v>54</v>
      </c>
      <c r="D79" s="1"/>
      <c r="E79" s="1"/>
      <c r="F79" s="1"/>
      <c r="G79" s="1"/>
      <c r="H79" s="1"/>
      <c r="I79" s="1"/>
      <c r="N79" s="1" t="s">
        <v>54</v>
      </c>
      <c r="P79" s="1"/>
      <c r="Q79" s="1"/>
      <c r="R79" s="1"/>
      <c r="S79" s="1"/>
      <c r="T79" s="1"/>
      <c r="U79" s="1"/>
    </row>
    <row r="80" spans="2:32" ht="18" thickBot="1" x14ac:dyDescent="0.4">
      <c r="B80" s="1"/>
      <c r="D80" s="1"/>
      <c r="E80" s="1"/>
      <c r="F80" s="1"/>
      <c r="G80" s="1"/>
      <c r="H80" s="1"/>
      <c r="I80" s="1"/>
      <c r="N80" s="1"/>
      <c r="P80" s="1"/>
      <c r="Q80" s="1"/>
      <c r="R80" s="23"/>
      <c r="S80" s="1"/>
      <c r="T80" s="1"/>
      <c r="U80" s="1"/>
    </row>
    <row r="81" spans="2:32" ht="13" x14ac:dyDescent="0.3">
      <c r="B81" s="24"/>
      <c r="C81" s="25"/>
      <c r="D81" s="25"/>
      <c r="E81" s="26" t="s">
        <v>1</v>
      </c>
      <c r="F81" s="26" t="s">
        <v>2</v>
      </c>
      <c r="G81" s="27" t="s">
        <v>3</v>
      </c>
      <c r="H81" s="27" t="s">
        <v>4</v>
      </c>
      <c r="I81" s="27" t="s">
        <v>49</v>
      </c>
      <c r="J81" s="27" t="s">
        <v>50</v>
      </c>
      <c r="K81" s="27" t="s">
        <v>60</v>
      </c>
      <c r="L81" s="28"/>
      <c r="N81" s="24"/>
      <c r="O81" s="25"/>
      <c r="P81" s="25"/>
      <c r="Q81" s="26" t="s">
        <v>1</v>
      </c>
      <c r="R81" s="26" t="s">
        <v>2</v>
      </c>
      <c r="S81" s="27" t="s">
        <v>3</v>
      </c>
      <c r="T81" s="27" t="s">
        <v>4</v>
      </c>
      <c r="U81" s="27" t="s">
        <v>49</v>
      </c>
      <c r="V81" s="27" t="s">
        <v>50</v>
      </c>
      <c r="W81" s="27" t="s">
        <v>60</v>
      </c>
      <c r="X81" s="28"/>
    </row>
    <row r="82" spans="2:32" ht="13" x14ac:dyDescent="0.3">
      <c r="B82" s="29"/>
      <c r="C82" s="30"/>
      <c r="D82" s="30"/>
      <c r="E82" s="31"/>
      <c r="F82" s="31"/>
      <c r="G82" s="31"/>
      <c r="H82" s="31"/>
      <c r="I82" s="31"/>
      <c r="J82" s="31"/>
      <c r="K82" s="31"/>
      <c r="L82" s="32"/>
      <c r="N82" s="29"/>
      <c r="O82" s="30"/>
      <c r="P82" s="30"/>
      <c r="Q82" s="31"/>
      <c r="R82" s="31"/>
      <c r="S82" s="31"/>
      <c r="T82" s="31"/>
      <c r="U82" s="31"/>
      <c r="V82" s="31"/>
      <c r="W82" s="31"/>
      <c r="X82" s="32"/>
    </row>
    <row r="83" spans="2:32" ht="13" x14ac:dyDescent="0.3">
      <c r="B83" s="33"/>
      <c r="C83" s="6" t="s">
        <v>12</v>
      </c>
      <c r="D83" s="6"/>
      <c r="E83" s="9">
        <v>367832</v>
      </c>
      <c r="F83" s="9">
        <v>347613</v>
      </c>
      <c r="G83" s="9">
        <v>248141</v>
      </c>
      <c r="H83" s="9">
        <v>238939</v>
      </c>
      <c r="I83" s="9">
        <v>234290</v>
      </c>
      <c r="J83" s="9">
        <v>249040</v>
      </c>
      <c r="K83" s="9">
        <v>251877</v>
      </c>
      <c r="L83" s="34"/>
      <c r="N83" s="33"/>
      <c r="O83" s="6" t="s">
        <v>13</v>
      </c>
      <c r="P83" s="6"/>
      <c r="Q83" s="9">
        <v>136563</v>
      </c>
      <c r="R83" s="9">
        <v>128399</v>
      </c>
      <c r="S83" s="9">
        <v>139917</v>
      </c>
      <c r="T83" s="9">
        <v>145626</v>
      </c>
      <c r="U83" s="9">
        <v>146753</v>
      </c>
      <c r="V83" s="9">
        <v>144832</v>
      </c>
      <c r="W83" s="9">
        <v>151216</v>
      </c>
      <c r="X83" s="34"/>
    </row>
    <row r="84" spans="2:32" ht="13" x14ac:dyDescent="0.3">
      <c r="B84" s="35"/>
      <c r="C84" s="36" t="s">
        <v>14</v>
      </c>
      <c r="D84" s="36" t="s">
        <v>8</v>
      </c>
      <c r="E84" s="37">
        <v>2851</v>
      </c>
      <c r="F84" s="37">
        <v>2865</v>
      </c>
      <c r="G84" s="37">
        <v>3603</v>
      </c>
      <c r="H84" s="37">
        <v>3857</v>
      </c>
      <c r="I84" s="37">
        <v>4914</v>
      </c>
      <c r="J84" s="37">
        <v>5504</v>
      </c>
      <c r="K84" s="69">
        <v>5267</v>
      </c>
      <c r="L84" s="38"/>
      <c r="N84" s="35"/>
      <c r="O84" s="36" t="s">
        <v>15</v>
      </c>
      <c r="P84" s="36" t="s">
        <v>8</v>
      </c>
      <c r="Q84" s="37">
        <v>2725</v>
      </c>
      <c r="R84" s="37">
        <v>2782</v>
      </c>
      <c r="S84" s="37">
        <v>3149</v>
      </c>
      <c r="T84" s="37">
        <v>3212</v>
      </c>
      <c r="U84" s="37">
        <v>4060</v>
      </c>
      <c r="V84" s="37">
        <v>4769</v>
      </c>
      <c r="W84" s="69">
        <v>4630</v>
      </c>
      <c r="X84" s="38"/>
      <c r="AB84" s="61"/>
      <c r="AC84" s="61"/>
      <c r="AD84" s="61"/>
      <c r="AE84" s="61"/>
      <c r="AF84" s="61"/>
    </row>
    <row r="85" spans="2:32" ht="13" x14ac:dyDescent="0.3">
      <c r="B85" s="35"/>
      <c r="C85" s="36"/>
      <c r="D85" s="36" t="s">
        <v>5</v>
      </c>
      <c r="E85" s="37">
        <v>4162</v>
      </c>
      <c r="F85" s="37">
        <v>4223</v>
      </c>
      <c r="G85" s="37">
        <v>5183</v>
      </c>
      <c r="H85" s="37">
        <v>5480</v>
      </c>
      <c r="I85" s="37">
        <v>7035</v>
      </c>
      <c r="J85" s="37">
        <v>8150</v>
      </c>
      <c r="K85" s="69">
        <v>7738</v>
      </c>
      <c r="L85" s="38"/>
      <c r="N85" s="35"/>
      <c r="O85" s="36"/>
      <c r="P85" s="36" t="s">
        <v>5</v>
      </c>
      <c r="Q85" s="37">
        <v>3529</v>
      </c>
      <c r="R85" s="37">
        <v>3550</v>
      </c>
      <c r="S85" s="37">
        <v>4300</v>
      </c>
      <c r="T85" s="37">
        <v>4454</v>
      </c>
      <c r="U85" s="37">
        <v>5764</v>
      </c>
      <c r="V85" s="37">
        <v>6813</v>
      </c>
      <c r="W85" s="69">
        <v>6570</v>
      </c>
      <c r="X85" s="38"/>
    </row>
    <row r="86" spans="2:32" ht="13" x14ac:dyDescent="0.3">
      <c r="B86" s="35"/>
      <c r="C86" s="36"/>
      <c r="D86" s="36" t="s">
        <v>6</v>
      </c>
      <c r="E86" s="37">
        <v>1636</v>
      </c>
      <c r="F86" s="37">
        <v>1568</v>
      </c>
      <c r="G86" s="37">
        <v>1753</v>
      </c>
      <c r="H86" s="37">
        <v>1947</v>
      </c>
      <c r="I86" s="37">
        <v>2650</v>
      </c>
      <c r="J86" s="37">
        <v>2845</v>
      </c>
      <c r="K86" s="69">
        <v>2763</v>
      </c>
      <c r="L86" s="38"/>
      <c r="N86" s="35"/>
      <c r="O86" s="36"/>
      <c r="P86" s="36" t="s">
        <v>6</v>
      </c>
      <c r="Q86" s="37">
        <v>941</v>
      </c>
      <c r="R86" s="37">
        <v>944</v>
      </c>
      <c r="S86" s="37">
        <v>1010</v>
      </c>
      <c r="T86" s="37">
        <v>1023</v>
      </c>
      <c r="U86" s="37">
        <v>1456</v>
      </c>
      <c r="V86" s="37">
        <v>1601</v>
      </c>
      <c r="W86" s="69">
        <v>1614</v>
      </c>
      <c r="X86" s="38"/>
    </row>
    <row r="87" spans="2:32" ht="13" x14ac:dyDescent="0.3">
      <c r="B87" s="35"/>
      <c r="C87" s="36"/>
      <c r="D87" s="36" t="s">
        <v>52</v>
      </c>
      <c r="E87" s="37">
        <v>4614</v>
      </c>
      <c r="F87" s="37">
        <v>4679</v>
      </c>
      <c r="G87" s="37">
        <v>5318</v>
      </c>
      <c r="H87" s="37">
        <v>5626</v>
      </c>
      <c r="I87" s="37">
        <v>7175</v>
      </c>
      <c r="J87" s="37">
        <v>8374</v>
      </c>
      <c r="K87" s="69">
        <v>8011</v>
      </c>
      <c r="L87" s="38"/>
      <c r="N87" s="35"/>
      <c r="O87" s="36"/>
      <c r="P87" s="36" t="s">
        <v>52</v>
      </c>
      <c r="Q87" s="37">
        <v>3938</v>
      </c>
      <c r="R87" s="37">
        <v>3941</v>
      </c>
      <c r="S87" s="37">
        <v>4444</v>
      </c>
      <c r="T87" s="37">
        <v>4624</v>
      </c>
      <c r="U87" s="37">
        <v>5929</v>
      </c>
      <c r="V87" s="37">
        <v>7069</v>
      </c>
      <c r="W87" s="69">
        <v>6903</v>
      </c>
      <c r="X87" s="38"/>
    </row>
    <row r="88" spans="2:32" ht="13" x14ac:dyDescent="0.3">
      <c r="B88" s="33"/>
      <c r="C88" s="11"/>
      <c r="D88" s="11" t="s">
        <v>7</v>
      </c>
      <c r="E88" s="12">
        <v>4594</v>
      </c>
      <c r="F88" s="12">
        <v>4642</v>
      </c>
      <c r="G88" s="12">
        <v>5241</v>
      </c>
      <c r="H88" s="12">
        <v>5540</v>
      </c>
      <c r="I88" s="12">
        <v>7115</v>
      </c>
      <c r="J88" s="12">
        <v>8296</v>
      </c>
      <c r="K88" s="12">
        <v>7967</v>
      </c>
      <c r="L88" s="38"/>
      <c r="N88" s="33"/>
      <c r="O88" s="11"/>
      <c r="P88" s="11" t="s">
        <v>7</v>
      </c>
      <c r="Q88" s="5">
        <v>2825</v>
      </c>
      <c r="R88" s="5">
        <v>2800</v>
      </c>
      <c r="S88" s="12">
        <v>3179</v>
      </c>
      <c r="T88" s="12">
        <v>3251</v>
      </c>
      <c r="U88" s="12">
        <v>4125</v>
      </c>
      <c r="V88" s="12">
        <v>5000</v>
      </c>
      <c r="W88" s="12">
        <v>4977</v>
      </c>
      <c r="X88" s="38"/>
      <c r="AB88" s="61"/>
      <c r="AE88" s="61"/>
    </row>
    <row r="89" spans="2:32" ht="13" x14ac:dyDescent="0.3">
      <c r="B89" s="39"/>
      <c r="C89" s="36" t="s">
        <v>16</v>
      </c>
      <c r="D89" s="36" t="s">
        <v>5</v>
      </c>
      <c r="E89" s="40">
        <v>0.20699999999999999</v>
      </c>
      <c r="F89" s="40">
        <f>74463/F83</f>
        <v>0.21421235684511225</v>
      </c>
      <c r="G89" s="40">
        <f>69007/G83</f>
        <v>0.27809592127056793</v>
      </c>
      <c r="H89" s="40">
        <f>67201/H83</f>
        <v>0.28124751505614404</v>
      </c>
      <c r="I89" s="40">
        <v>0.28000000000000003</v>
      </c>
      <c r="J89" s="40">
        <f>65307/J83</f>
        <v>0.26223498233215548</v>
      </c>
      <c r="K89" s="73">
        <f>64535/K83</f>
        <v>0.25621632781079656</v>
      </c>
      <c r="L89" s="41"/>
      <c r="N89" s="39"/>
      <c r="O89" s="36" t="s">
        <v>16</v>
      </c>
      <c r="P89" s="36" t="s">
        <v>5</v>
      </c>
      <c r="Q89" s="40">
        <v>0.32700000000000001</v>
      </c>
      <c r="R89" s="40">
        <f>43167/R83</f>
        <v>0.33619420711999315</v>
      </c>
      <c r="S89" s="40">
        <f>49114/S83</f>
        <v>0.35102239184659478</v>
      </c>
      <c r="T89" s="40">
        <f>50310/T83</f>
        <v>0.34547402249598286</v>
      </c>
      <c r="U89" s="40">
        <f>48791/U83</f>
        <v>0.33247020503839786</v>
      </c>
      <c r="V89" s="40">
        <f>47962/V83</f>
        <v>0.33115609809986746</v>
      </c>
      <c r="W89" s="73">
        <f>49526/W83</f>
        <v>0.3275182520368215</v>
      </c>
      <c r="X89" s="41"/>
      <c r="AB89" s="61"/>
      <c r="AC89" s="61"/>
      <c r="AD89" s="61"/>
      <c r="AE89" s="61"/>
      <c r="AF89" s="61"/>
    </row>
    <row r="90" spans="2:32" ht="13" x14ac:dyDescent="0.3">
      <c r="B90" s="39"/>
      <c r="C90" s="36"/>
      <c r="D90" s="36" t="s">
        <v>6</v>
      </c>
      <c r="E90" s="40">
        <v>0.56000000000000005</v>
      </c>
      <c r="F90" s="40">
        <f>191530/F83</f>
        <v>0.55098629798080045</v>
      </c>
      <c r="G90" s="40">
        <f>116622/G83</f>
        <v>0.46998279204162152</v>
      </c>
      <c r="H90" s="40">
        <f>112066/H83</f>
        <v>0.46901510427347565</v>
      </c>
      <c r="I90" s="40">
        <f>114975/I83</f>
        <v>0.49073797430534805</v>
      </c>
      <c r="J90" s="40">
        <f>126501/J83</f>
        <v>0.50795454545454544</v>
      </c>
      <c r="K90" s="73">
        <f>128275/K83</f>
        <v>0.50927635314062025</v>
      </c>
      <c r="L90" s="41"/>
      <c r="N90" s="39"/>
      <c r="O90" s="36"/>
      <c r="P90" s="36" t="s">
        <v>6</v>
      </c>
      <c r="Q90" s="40">
        <v>0.34399999999999997</v>
      </c>
      <c r="R90" s="40">
        <f>42121/R83</f>
        <v>0.3280477262283974</v>
      </c>
      <c r="S90" s="40">
        <f>49272/S83</f>
        <v>0.35215163275370398</v>
      </c>
      <c r="T90" s="40">
        <f>53079/T83</f>
        <v>0.36448848419925012</v>
      </c>
      <c r="U90" s="40">
        <f>57738/U83</f>
        <v>0.3934365907340906</v>
      </c>
      <c r="V90" s="40">
        <v>0.39</v>
      </c>
      <c r="W90" s="73">
        <f>60481/W83</f>
        <v>0.39996428949317531</v>
      </c>
      <c r="X90" s="41"/>
      <c r="AB90" s="61"/>
      <c r="AC90" s="61"/>
      <c r="AD90" s="61"/>
      <c r="AE90" s="61"/>
      <c r="AF90" s="61"/>
    </row>
    <row r="91" spans="2:32" ht="13" x14ac:dyDescent="0.3">
      <c r="B91" s="39"/>
      <c r="C91" s="36"/>
      <c r="D91" s="36" t="s">
        <v>52</v>
      </c>
      <c r="E91" s="40">
        <v>0.17799999999999999</v>
      </c>
      <c r="F91" s="40">
        <f>63384/F83</f>
        <v>0.18234070647530443</v>
      </c>
      <c r="G91" s="40">
        <f>54709/G83</f>
        <v>0.22047545548700134</v>
      </c>
      <c r="H91" s="40">
        <f>51763/H83</f>
        <v>0.21663688221680011</v>
      </c>
      <c r="I91" s="40">
        <f>47254/I83</f>
        <v>0.20169021298390882</v>
      </c>
      <c r="J91" s="40">
        <f>49448/J83</f>
        <v>0.19855444908448441</v>
      </c>
      <c r="K91" s="73">
        <f>51234/K83</f>
        <v>0.20340880667945069</v>
      </c>
      <c r="L91" s="41"/>
      <c r="N91" s="39"/>
      <c r="O91" s="36"/>
      <c r="P91" s="36" t="s">
        <v>52</v>
      </c>
      <c r="Q91" s="40">
        <v>0.28299999999999997</v>
      </c>
      <c r="R91" s="40">
        <f>37614/R83</f>
        <v>0.29294620674615846</v>
      </c>
      <c r="S91" s="40">
        <f>37655/S83</f>
        <v>0.26912383770378151</v>
      </c>
      <c r="T91" s="40">
        <f>37888/T83</f>
        <v>0.26017332069822696</v>
      </c>
      <c r="U91" s="40">
        <v>0.25</v>
      </c>
      <c r="V91" s="40">
        <f>35818/V83</f>
        <v>0.24730722492266902</v>
      </c>
      <c r="W91" s="73">
        <f>37427/W83</f>
        <v>0.24750687757909215</v>
      </c>
      <c r="X91" s="41"/>
      <c r="AB91" s="61"/>
      <c r="AC91" s="61"/>
      <c r="AD91" s="61"/>
      <c r="AE91" s="61"/>
      <c r="AF91" s="61"/>
    </row>
    <row r="92" spans="2:32" ht="13" x14ac:dyDescent="0.3">
      <c r="B92" s="39"/>
      <c r="C92" s="6"/>
      <c r="D92" s="6" t="s">
        <v>7</v>
      </c>
      <c r="E92" s="16">
        <v>0.05</v>
      </c>
      <c r="F92" s="16">
        <f>16168/F83</f>
        <v>4.6511494104075513E-2</v>
      </c>
      <c r="G92" s="16">
        <f>7844/G83</f>
        <v>3.1611059840977507E-2</v>
      </c>
      <c r="H92" s="16">
        <f>7909/H83</f>
        <v>3.31004984535802E-2</v>
      </c>
      <c r="I92" s="16">
        <f>7653/I83</f>
        <v>3.2664646378419905E-2</v>
      </c>
      <c r="J92" s="16">
        <f>7784/J83</f>
        <v>3.1256023128814647E-2</v>
      </c>
      <c r="K92" s="16">
        <f>7833/K83</f>
        <v>3.1098512369132553E-2</v>
      </c>
      <c r="L92" s="41"/>
      <c r="N92" s="39"/>
      <c r="O92" s="6"/>
      <c r="P92" s="6" t="s">
        <v>7</v>
      </c>
      <c r="Q92" s="17">
        <v>0.04</v>
      </c>
      <c r="R92" s="17">
        <f>4455/R83</f>
        <v>3.4696531904454084E-2</v>
      </c>
      <c r="S92" s="16">
        <f>3876/S83</f>
        <v>2.7702137695919723E-2</v>
      </c>
      <c r="T92" s="16">
        <f>4349/T83</f>
        <v>2.9864172606540042E-2</v>
      </c>
      <c r="U92" s="16">
        <f>4378/U83</f>
        <v>2.9832439541270024E-2</v>
      </c>
      <c r="V92" s="16">
        <f>3814/V83</f>
        <v>2.6333959346000885E-2</v>
      </c>
      <c r="W92" s="16">
        <f>3782/W83</f>
        <v>2.5010580890911016E-2</v>
      </c>
      <c r="X92" s="41"/>
      <c r="AB92" s="61"/>
      <c r="AE92" s="61"/>
      <c r="AF92" s="61"/>
    </row>
    <row r="93" spans="2:32" ht="13" x14ac:dyDescent="0.3">
      <c r="B93" s="39"/>
      <c r="C93" s="36" t="s">
        <v>17</v>
      </c>
      <c r="D93" s="36" t="s">
        <v>9</v>
      </c>
      <c r="E93" s="40">
        <v>0.49299999999999999</v>
      </c>
      <c r="F93" s="40">
        <v>0.48399999999999999</v>
      </c>
      <c r="G93" s="40">
        <v>0.44600000000000001</v>
      </c>
      <c r="H93" s="40">
        <v>0.45300000000000001</v>
      </c>
      <c r="I93" s="40">
        <v>0.47499999999999998</v>
      </c>
      <c r="J93" s="40">
        <v>0.505</v>
      </c>
      <c r="K93" s="73">
        <v>0.45100000000000001</v>
      </c>
      <c r="L93" s="41"/>
      <c r="N93" s="39"/>
      <c r="O93" s="36" t="s">
        <v>17</v>
      </c>
      <c r="P93" s="36" t="s">
        <v>9</v>
      </c>
      <c r="Q93" s="40">
        <v>0.35</v>
      </c>
      <c r="R93" s="40">
        <v>0.34399999999999997</v>
      </c>
      <c r="S93" s="40">
        <v>0.34200000000000003</v>
      </c>
      <c r="T93" s="40">
        <v>0.35899999999999999</v>
      </c>
      <c r="U93" s="40">
        <v>0.38600000000000001</v>
      </c>
      <c r="V93" s="40">
        <v>0.39800000000000002</v>
      </c>
      <c r="W93" s="73">
        <v>0.35199999999999998</v>
      </c>
      <c r="X93" s="41"/>
    </row>
    <row r="94" spans="2:32" ht="13" x14ac:dyDescent="0.3">
      <c r="B94" s="39"/>
      <c r="C94" s="36"/>
      <c r="D94" s="36" t="s">
        <v>18</v>
      </c>
      <c r="E94" s="40">
        <v>0.22</v>
      </c>
      <c r="F94" s="40">
        <v>0.223</v>
      </c>
      <c r="G94" s="40">
        <v>0.22</v>
      </c>
      <c r="H94" s="40">
        <v>0.21</v>
      </c>
      <c r="I94" s="40">
        <v>0.20499999999999999</v>
      </c>
      <c r="J94" s="40">
        <v>0.20100000000000001</v>
      </c>
      <c r="K94" s="73">
        <v>0.22600000000000001</v>
      </c>
      <c r="L94" s="41"/>
      <c r="N94" s="39"/>
      <c r="O94" s="36"/>
      <c r="P94" s="36" t="s">
        <v>18</v>
      </c>
      <c r="Q94" s="40">
        <v>0.25</v>
      </c>
      <c r="R94" s="40">
        <v>0.247</v>
      </c>
      <c r="S94" s="40">
        <v>0.246</v>
      </c>
      <c r="T94" s="40">
        <v>0.23200000000000001</v>
      </c>
      <c r="U94" s="40">
        <v>0.22800000000000001</v>
      </c>
      <c r="V94" s="40">
        <v>0.23300000000000001</v>
      </c>
      <c r="W94" s="73">
        <v>0.26200000000000001</v>
      </c>
      <c r="X94" s="41"/>
    </row>
    <row r="95" spans="2:32" ht="13" x14ac:dyDescent="0.3">
      <c r="B95" s="33"/>
      <c r="C95" s="11"/>
      <c r="D95" s="11" t="s">
        <v>19</v>
      </c>
      <c r="E95" s="18">
        <v>0.28499999999999998</v>
      </c>
      <c r="F95" s="18">
        <v>0.29299999999999998</v>
      </c>
      <c r="G95" s="18">
        <v>0.33</v>
      </c>
      <c r="H95" s="18">
        <v>0.34</v>
      </c>
      <c r="I95" s="18">
        <v>0.31</v>
      </c>
      <c r="J95" s="18">
        <f>1-J94-J93</f>
        <v>0.29399999999999993</v>
      </c>
      <c r="K95" s="18">
        <f>1-K94-K93</f>
        <v>0.32300000000000001</v>
      </c>
      <c r="L95" s="41"/>
      <c r="N95" s="33"/>
      <c r="O95" s="11"/>
      <c r="P95" s="11" t="s">
        <v>19</v>
      </c>
      <c r="Q95" s="16">
        <v>0.4</v>
      </c>
      <c r="R95" s="16">
        <v>0.41</v>
      </c>
      <c r="S95" s="18">
        <f>1-S94-S93</f>
        <v>0.41199999999999998</v>
      </c>
      <c r="T95" s="18">
        <f>1-T94-T93</f>
        <v>0.40900000000000003</v>
      </c>
      <c r="U95" s="18">
        <v>0.38</v>
      </c>
      <c r="V95" s="18">
        <v>0.37</v>
      </c>
      <c r="W95" s="18">
        <v>0.38700000000000001</v>
      </c>
      <c r="X95" s="41"/>
    </row>
    <row r="96" spans="2:32" ht="13" x14ac:dyDescent="0.3">
      <c r="B96" s="39"/>
      <c r="C96" s="36" t="s">
        <v>20</v>
      </c>
      <c r="D96" s="36" t="s">
        <v>21</v>
      </c>
      <c r="E96" s="40">
        <v>0.28000000000000003</v>
      </c>
      <c r="F96" s="40">
        <v>0.28199999999999997</v>
      </c>
      <c r="G96" s="40">
        <v>0.27700000000000002</v>
      </c>
      <c r="H96" s="40">
        <v>0.27400000000000002</v>
      </c>
      <c r="I96" s="40">
        <v>0.28100000000000003</v>
      </c>
      <c r="J96" s="40">
        <v>0.28000000000000003</v>
      </c>
      <c r="K96" s="73">
        <v>0.28100000000000003</v>
      </c>
      <c r="L96" s="41"/>
      <c r="N96" s="39"/>
      <c r="O96" s="36" t="s">
        <v>20</v>
      </c>
      <c r="P96" s="36" t="s">
        <v>21</v>
      </c>
      <c r="Q96" s="40">
        <v>0.3</v>
      </c>
      <c r="R96" s="40">
        <v>0.29899999999999999</v>
      </c>
      <c r="S96" s="40">
        <v>0.26700000000000002</v>
      </c>
      <c r="T96" s="40">
        <v>0.26600000000000001</v>
      </c>
      <c r="U96" s="40">
        <v>0.27200000000000002</v>
      </c>
      <c r="V96" s="40">
        <v>0.27200000000000002</v>
      </c>
      <c r="W96" s="73">
        <v>0.27400000000000002</v>
      </c>
      <c r="X96" s="41"/>
    </row>
    <row r="97" spans="2:32" ht="13" x14ac:dyDescent="0.3">
      <c r="B97" s="39"/>
      <c r="C97" s="36"/>
      <c r="D97" s="36" t="s">
        <v>22</v>
      </c>
      <c r="E97" s="40">
        <v>0.41899999999999998</v>
      </c>
      <c r="F97" s="40">
        <v>0.42299999999999999</v>
      </c>
      <c r="G97" s="40">
        <v>0.44900000000000001</v>
      </c>
      <c r="H97" s="40">
        <v>0.45100000000000001</v>
      </c>
      <c r="I97" s="40">
        <v>0.44400000000000001</v>
      </c>
      <c r="J97" s="40">
        <v>0.44</v>
      </c>
      <c r="K97" s="73">
        <v>0.44500000000000001</v>
      </c>
      <c r="L97" s="41"/>
      <c r="N97" s="39"/>
      <c r="O97" s="36"/>
      <c r="P97" s="36" t="s">
        <v>22</v>
      </c>
      <c r="Q97" s="40">
        <v>0.45</v>
      </c>
      <c r="R97" s="40">
        <v>0.44500000000000001</v>
      </c>
      <c r="S97" s="40">
        <v>0.47599999999999998</v>
      </c>
      <c r="T97" s="40">
        <v>0.47099999999999997</v>
      </c>
      <c r="U97" s="40">
        <v>0.46800000000000003</v>
      </c>
      <c r="V97" s="40">
        <v>0.46800000000000003</v>
      </c>
      <c r="W97" s="73">
        <v>0.46300000000000002</v>
      </c>
      <c r="X97" s="41"/>
    </row>
    <row r="98" spans="2:32" ht="13" x14ac:dyDescent="0.3">
      <c r="B98" s="39"/>
      <c r="C98" s="6"/>
      <c r="D98" s="6" t="s">
        <v>23</v>
      </c>
      <c r="E98" s="16">
        <v>0.3</v>
      </c>
      <c r="F98" s="16">
        <v>0.29599999999999999</v>
      </c>
      <c r="G98" s="16">
        <v>0.27</v>
      </c>
      <c r="H98" s="16">
        <v>0.28000000000000003</v>
      </c>
      <c r="I98" s="16">
        <v>0.28000000000000003</v>
      </c>
      <c r="J98" s="16">
        <v>0.28000000000000003</v>
      </c>
      <c r="K98" s="16">
        <v>0.27400000000000002</v>
      </c>
      <c r="L98" s="41"/>
      <c r="N98" s="39"/>
      <c r="O98" s="6"/>
      <c r="P98" s="6" t="s">
        <v>23</v>
      </c>
      <c r="Q98" s="16">
        <v>0.26</v>
      </c>
      <c r="R98" s="16">
        <v>0.25600000000000001</v>
      </c>
      <c r="S98" s="16">
        <v>0.254</v>
      </c>
      <c r="T98" s="16">
        <v>0.26</v>
      </c>
      <c r="U98" s="16">
        <v>0.26</v>
      </c>
      <c r="V98" s="16">
        <v>0.26</v>
      </c>
      <c r="W98" s="16">
        <v>0.26400000000000001</v>
      </c>
      <c r="X98" s="41"/>
    </row>
    <row r="99" spans="2:32" ht="13" x14ac:dyDescent="0.3">
      <c r="B99" s="39"/>
      <c r="C99" s="36" t="s">
        <v>45</v>
      </c>
      <c r="D99" s="36" t="s">
        <v>27</v>
      </c>
      <c r="E99" s="40">
        <v>0.59599999999999997</v>
      </c>
      <c r="F99" s="40">
        <v>0.59899999999999998</v>
      </c>
      <c r="G99" s="40">
        <f>((G26*G8)+(G65*G47))/G83</f>
        <v>0.71654420672117858</v>
      </c>
      <c r="H99" s="40">
        <f>((H26*H8)+(H65*H47))/H83</f>
        <v>0.73216044680859971</v>
      </c>
      <c r="I99" s="40">
        <f>((I26*I8)+(I65*I47))/I83</f>
        <v>0.71272551111869908</v>
      </c>
      <c r="J99" s="40">
        <f>((J26*J8)+(J65*J47))/J83</f>
        <v>0.68832630902666236</v>
      </c>
      <c r="K99" s="73">
        <f>((K26*K8)+(K65*K47))/K83</f>
        <v>0.11263448429193615</v>
      </c>
      <c r="L99" s="41"/>
      <c r="N99" s="39"/>
      <c r="O99" s="36" t="s">
        <v>45</v>
      </c>
      <c r="P99" s="36" t="s">
        <v>27</v>
      </c>
      <c r="Q99" s="40">
        <v>0.67600000000000005</v>
      </c>
      <c r="R99" s="40">
        <v>0.68</v>
      </c>
      <c r="S99" s="40">
        <f>((S26*S8)+(S65*S47))/S83</f>
        <v>0.75956910882880568</v>
      </c>
      <c r="T99" s="40">
        <f>((T26*T8)+(T65*T47))/T83</f>
        <v>0.77437116311647658</v>
      </c>
      <c r="U99" s="40">
        <f>((U26*U8)+(U65*U47))/U83</f>
        <v>0.76297311128222245</v>
      </c>
      <c r="V99" s="40">
        <f>((V26*V8)+(V65*V47))/V83</f>
        <v>0.74978963212549721</v>
      </c>
      <c r="W99" s="73">
        <f>((W26*W8)+(W65*W47))/W83</f>
        <v>0.13429568299650829</v>
      </c>
      <c r="X99" s="41"/>
    </row>
    <row r="100" spans="2:32" ht="13" x14ac:dyDescent="0.3">
      <c r="B100" s="39"/>
      <c r="C100" s="42" t="s">
        <v>46</v>
      </c>
      <c r="D100" s="36" t="s">
        <v>62</v>
      </c>
      <c r="E100" s="37">
        <v>4289</v>
      </c>
      <c r="F100" s="37">
        <v>4413</v>
      </c>
      <c r="G100" s="37">
        <v>8571.4635779051896</v>
      </c>
      <c r="H100" s="37">
        <v>9233.4795463413993</v>
      </c>
      <c r="I100" s="37">
        <v>10462.953624906173</v>
      </c>
      <c r="J100" s="37">
        <v>9717.9024067933333</v>
      </c>
      <c r="K100" s="69">
        <v>29512.452077537018</v>
      </c>
      <c r="L100" s="38"/>
      <c r="N100" s="39"/>
      <c r="O100" s="42" t="s">
        <v>46</v>
      </c>
      <c r="P100" s="36" t="s">
        <v>62</v>
      </c>
      <c r="Q100" s="37">
        <v>6420</v>
      </c>
      <c r="R100" s="37">
        <v>6577</v>
      </c>
      <c r="S100" s="37">
        <v>9859.7152814526089</v>
      </c>
      <c r="T100" s="37">
        <v>10309.691547844779</v>
      </c>
      <c r="U100" s="37">
        <v>11599.031867847085</v>
      </c>
      <c r="V100" s="37">
        <v>10770.268013697168</v>
      </c>
      <c r="W100" s="69">
        <v>30166.100527800943</v>
      </c>
      <c r="X100" s="38"/>
    </row>
    <row r="101" spans="2:32" ht="13" x14ac:dyDescent="0.3">
      <c r="B101" s="39"/>
      <c r="C101" s="36"/>
      <c r="D101" s="36" t="s">
        <v>28</v>
      </c>
      <c r="E101" s="40">
        <v>0.85799999999999998</v>
      </c>
      <c r="F101" s="40">
        <v>0.83899999999999997</v>
      </c>
      <c r="G101" s="40">
        <f>((G28*G8)+(G67*G47))/G83</f>
        <v>0.88650553515944563</v>
      </c>
      <c r="H101" s="40">
        <f>((H28*H8)+(H67*H47))/H83</f>
        <v>0.88765756113485039</v>
      </c>
      <c r="I101" s="40">
        <f>((I28*I8)+(I67*I47))/I83</f>
        <v>0.87241233087199632</v>
      </c>
      <c r="J101" s="40">
        <f>((J28*J8)+(J67*J47))/J83</f>
        <v>0.86310761323482177</v>
      </c>
      <c r="K101" s="73">
        <f>((K28*K8)+(K67*K47))/K83</f>
        <v>0.81799655387351766</v>
      </c>
      <c r="L101" s="41"/>
      <c r="N101" s="39"/>
      <c r="O101" s="36"/>
      <c r="P101" s="36" t="s">
        <v>28</v>
      </c>
      <c r="Q101" s="40">
        <v>0.877</v>
      </c>
      <c r="R101" s="40">
        <v>0.87</v>
      </c>
      <c r="S101" s="40">
        <f>((S28*S8)+(S67*S47))/S83</f>
        <v>0.91313821765761138</v>
      </c>
      <c r="T101" s="40">
        <f>((T28*T8)+(T67*T47))/T83</f>
        <v>0.91177232087676652</v>
      </c>
      <c r="U101" s="40">
        <f>((U28*U8)+(U67*U47))/U83</f>
        <v>0.90381055923899334</v>
      </c>
      <c r="V101" s="40">
        <f>((V28*V8)+(V67*V47))/V83</f>
        <v>0.90347247845779932</v>
      </c>
      <c r="W101" s="73">
        <f>((W28*W8)+(W67*W47))/W83</f>
        <v>0.860161504073643</v>
      </c>
      <c r="X101" s="41"/>
    </row>
    <row r="102" spans="2:32" ht="13" x14ac:dyDescent="0.3">
      <c r="B102" s="39"/>
      <c r="C102" s="6"/>
      <c r="D102" s="6" t="s">
        <v>29</v>
      </c>
      <c r="E102" s="12">
        <v>21530</v>
      </c>
      <c r="F102" s="12">
        <v>22032</v>
      </c>
      <c r="G102" s="12">
        <f>((G29*G8)+(G47*G68))/G83</f>
        <v>27264.386933235539</v>
      </c>
      <c r="H102" s="12">
        <f>((H29*H8)+(H47*H68))/H83</f>
        <v>27945.145924273558</v>
      </c>
      <c r="I102" s="12">
        <f>((I29*I8)+(I47*I68))/I83</f>
        <v>28199.039502326177</v>
      </c>
      <c r="J102" s="12">
        <f>((J29*J8)+(J47*J68))/J83</f>
        <v>30083.633665274654</v>
      </c>
      <c r="K102" s="12">
        <f>((K29*K8)+(K47*K68))/K83</f>
        <v>34058.907077660922</v>
      </c>
      <c r="L102" s="38"/>
      <c r="N102" s="39"/>
      <c r="O102" s="36"/>
      <c r="P102" s="36" t="s">
        <v>29</v>
      </c>
      <c r="Q102" s="12">
        <v>25874</v>
      </c>
      <c r="R102" s="12">
        <v>26247</v>
      </c>
      <c r="S102" s="12">
        <f>((S29*S8)+(S47*S68))/S83</f>
        <v>29828.926778018398</v>
      </c>
      <c r="T102" s="12">
        <f>((T29*T8)+(T47*T68))/T83</f>
        <v>30385.458221746117</v>
      </c>
      <c r="U102" s="12">
        <f>((U29*U8)+(U47*U68))/U83</f>
        <v>30707.724905112671</v>
      </c>
      <c r="V102" s="12">
        <f>((V29*V8)+(V47*V68))/V83</f>
        <v>33479.453656650461</v>
      </c>
      <c r="W102" s="12">
        <f>((W29*W8)+(W47*W68))/W83</f>
        <v>36568.274349275212</v>
      </c>
      <c r="X102" s="38"/>
    </row>
    <row r="103" spans="2:32" ht="13" x14ac:dyDescent="0.3">
      <c r="B103" s="39"/>
      <c r="C103" s="4" t="s">
        <v>37</v>
      </c>
      <c r="D103" s="4" t="s">
        <v>51</v>
      </c>
      <c r="E103" s="40">
        <v>0.65</v>
      </c>
      <c r="F103" s="40">
        <v>0.65200000000000002</v>
      </c>
      <c r="G103" s="40">
        <f>((G35*G8)+(G47*G69))/G83</f>
        <v>0.60178450155355223</v>
      </c>
      <c r="H103" s="40">
        <f>((H35*H8)+(H47*H69))/H83</f>
        <v>0.60045363460967027</v>
      </c>
      <c r="I103" s="40">
        <f>((I35*I8)+(I47*I69))/I83</f>
        <v>0.58999033249391775</v>
      </c>
      <c r="J103" s="40">
        <f>((J35*J8)+(J47*J69))/J83</f>
        <v>0.60710488274975916</v>
      </c>
      <c r="K103" s="73">
        <f>((K35*K8)+(K47*K69))/K83</f>
        <v>0.8183206882724503</v>
      </c>
      <c r="L103" s="41"/>
      <c r="N103" s="39"/>
      <c r="O103" s="4" t="s">
        <v>37</v>
      </c>
      <c r="P103" s="4" t="s">
        <v>51</v>
      </c>
      <c r="Q103" s="40">
        <v>0.56000000000000005</v>
      </c>
      <c r="R103" s="40">
        <v>0.56299999999999994</v>
      </c>
      <c r="S103" s="40">
        <f>((S35*S8)+(S47*S69))/S83</f>
        <v>0.55107477290107698</v>
      </c>
      <c r="T103" s="40">
        <f>((T35*T8)+(T47*T69))/T83</f>
        <v>0.55489264966420826</v>
      </c>
      <c r="U103" s="40">
        <f>((U35*U8)+(U47*U69))/U83</f>
        <v>0.54368491955871434</v>
      </c>
      <c r="V103" s="40">
        <f>((V35*V8)+(V47*V69))/V83</f>
        <v>0.55164081142289001</v>
      </c>
      <c r="W103" s="73">
        <v>0.78900000000000003</v>
      </c>
      <c r="X103" s="41"/>
      <c r="AB103" s="61"/>
      <c r="AC103" s="61"/>
      <c r="AD103" s="61"/>
      <c r="AE103" s="61"/>
      <c r="AF103" s="61"/>
    </row>
    <row r="104" spans="2:32" ht="13" x14ac:dyDescent="0.3">
      <c r="B104" s="39"/>
      <c r="C104" s="36"/>
      <c r="D104" s="36" t="s">
        <v>38</v>
      </c>
      <c r="E104" s="37">
        <v>887</v>
      </c>
      <c r="F104" s="37">
        <v>886</v>
      </c>
      <c r="G104" s="37">
        <v>1189</v>
      </c>
      <c r="H104" s="37">
        <v>1201</v>
      </c>
      <c r="I104" s="37">
        <v>1274</v>
      </c>
      <c r="J104" s="37">
        <v>1254</v>
      </c>
      <c r="K104" s="69">
        <v>-457</v>
      </c>
      <c r="L104" s="38"/>
      <c r="N104" s="39"/>
      <c r="O104" s="36"/>
      <c r="P104" s="36" t="s">
        <v>38</v>
      </c>
      <c r="Q104" s="37">
        <v>1193</v>
      </c>
      <c r="R104" s="37">
        <v>1200</v>
      </c>
      <c r="S104" s="37">
        <v>1390</v>
      </c>
      <c r="T104" s="37">
        <v>1369</v>
      </c>
      <c r="U104" s="37">
        <v>1434</v>
      </c>
      <c r="V104" s="37">
        <v>1464</v>
      </c>
      <c r="W104" s="69">
        <v>-301</v>
      </c>
      <c r="X104" s="38"/>
      <c r="AB104" s="61"/>
      <c r="AC104" s="61"/>
      <c r="AD104" s="61"/>
      <c r="AE104" s="61"/>
      <c r="AF104" s="61"/>
    </row>
    <row r="105" spans="2:32" ht="13" x14ac:dyDescent="0.3">
      <c r="B105" s="39"/>
      <c r="C105" s="6"/>
      <c r="D105" s="6" t="s">
        <v>47</v>
      </c>
      <c r="E105" s="12">
        <v>2800</v>
      </c>
      <c r="F105" s="12">
        <v>2802</v>
      </c>
      <c r="G105" s="12">
        <v>3264</v>
      </c>
      <c r="H105" s="12">
        <v>3265</v>
      </c>
      <c r="I105" s="12">
        <v>3352</v>
      </c>
      <c r="J105" s="12">
        <v>3331</v>
      </c>
      <c r="K105" s="12">
        <v>2949</v>
      </c>
      <c r="L105" s="38"/>
      <c r="N105" s="39"/>
      <c r="O105" s="6"/>
      <c r="P105" s="6" t="s">
        <v>47</v>
      </c>
      <c r="Q105" s="12">
        <v>3285</v>
      </c>
      <c r="R105" s="12">
        <v>3299</v>
      </c>
      <c r="S105" s="12">
        <v>3574</v>
      </c>
      <c r="T105" s="12">
        <v>3516</v>
      </c>
      <c r="U105" s="12">
        <v>3584</v>
      </c>
      <c r="V105" s="12">
        <v>3634</v>
      </c>
      <c r="W105" s="12">
        <v>3199</v>
      </c>
      <c r="X105" s="38"/>
      <c r="AB105" s="61"/>
      <c r="AC105" s="61"/>
      <c r="AD105" s="61"/>
      <c r="AE105" s="61"/>
      <c r="AF105" s="61"/>
    </row>
    <row r="106" spans="2:32" ht="13" x14ac:dyDescent="0.3">
      <c r="B106" s="39"/>
      <c r="C106" s="36" t="s">
        <v>30</v>
      </c>
      <c r="D106" s="36" t="s">
        <v>31</v>
      </c>
      <c r="E106" s="43">
        <v>3.1</v>
      </c>
      <c r="F106" s="43">
        <v>3.09</v>
      </c>
      <c r="G106" s="43">
        <f>((G30*G8)+(G47*G72))/G83</f>
        <v>3.2407921302807678</v>
      </c>
      <c r="H106" s="43">
        <f>((H30*H8)+(H47*H72))/H83</f>
        <v>3.2556367943282596</v>
      </c>
      <c r="I106" s="43">
        <f>((I30*I8)+(I47*I72))/I83</f>
        <v>3.2120918519783173</v>
      </c>
      <c r="J106" s="43">
        <f>((J30*J8)+(J47*J72))/J83</f>
        <v>3.1984131063283008</v>
      </c>
      <c r="K106" s="72">
        <v>3.2</v>
      </c>
      <c r="L106" s="44"/>
      <c r="N106" s="39"/>
      <c r="O106" s="36" t="s">
        <v>30</v>
      </c>
      <c r="P106" s="36" t="s">
        <v>31</v>
      </c>
      <c r="Q106" s="43">
        <v>3.3</v>
      </c>
      <c r="R106" s="43">
        <v>3.3679999999999999</v>
      </c>
      <c r="S106" s="43">
        <f>((S30*S8)+(S47*S72))/S83</f>
        <v>3.3592522709892294</v>
      </c>
      <c r="T106" s="43">
        <f>((T30*T8)+(T47*T72))/T83</f>
        <v>3.3748465246590582</v>
      </c>
      <c r="U106" s="43">
        <f>((U30*U8)+(U47*U72))/U83</f>
        <v>3.380493754812508</v>
      </c>
      <c r="V106" s="43">
        <f>((V30*V8)+(V47*V72))/V83</f>
        <v>3.3360838764913829</v>
      </c>
      <c r="W106" s="72">
        <v>3.3</v>
      </c>
      <c r="X106" s="44"/>
    </row>
    <row r="107" spans="2:32" ht="13" x14ac:dyDescent="0.3">
      <c r="B107" s="39"/>
      <c r="C107" s="67"/>
      <c r="D107" s="36" t="s">
        <v>32</v>
      </c>
      <c r="E107" s="43">
        <v>1.2</v>
      </c>
      <c r="F107" s="43">
        <v>1.24</v>
      </c>
      <c r="G107" s="43">
        <f>((G31*G8)+(G47*G73))/G83</f>
        <v>1.2660221406377825</v>
      </c>
      <c r="H107" s="43">
        <f>((H31*H8)+(H47*H73))/H83</f>
        <v>1.2686417872343987</v>
      </c>
      <c r="I107" s="43">
        <f>((I31*I8)+(I47*I73))/I83</f>
        <v>1.212454650219813</v>
      </c>
      <c r="J107" s="43">
        <f>((J31*J8)+(J47*J73))/J83</f>
        <v>1.2109347895920335</v>
      </c>
      <c r="K107" s="72" t="s">
        <v>61</v>
      </c>
      <c r="L107" s="44"/>
      <c r="N107" s="39"/>
      <c r="O107" s="67"/>
      <c r="P107" s="36" t="s">
        <v>32</v>
      </c>
      <c r="Q107" s="36">
        <v>1.4</v>
      </c>
      <c r="R107" s="36">
        <v>1.3</v>
      </c>
      <c r="S107" s="43">
        <f>((S31*S8)+(S47*S73))/S83</f>
        <v>1.2988293059456677</v>
      </c>
      <c r="T107" s="43">
        <f>((T31*T8)+(T47*T73))/T83</f>
        <v>1.2958077541098432</v>
      </c>
      <c r="U107" s="43">
        <f>((U31*U8)+(U47*U73))/U83</f>
        <v>1.296748959135418</v>
      </c>
      <c r="V107" s="43">
        <f>((V31*V8)+(V47*V73))/V83</f>
        <v>1.2336569266460451</v>
      </c>
      <c r="W107" s="72" t="s">
        <v>61</v>
      </c>
      <c r="X107" s="44"/>
    </row>
    <row r="108" spans="2:32" ht="13.5" thickBot="1" x14ac:dyDescent="0.35">
      <c r="B108" s="63"/>
      <c r="C108" s="64"/>
      <c r="D108" s="64"/>
      <c r="E108" s="64"/>
      <c r="F108" s="65"/>
      <c r="G108" s="65"/>
      <c r="H108" s="65"/>
      <c r="I108" s="65"/>
      <c r="J108" s="64"/>
      <c r="K108" s="64"/>
      <c r="L108" s="66"/>
      <c r="N108" s="63"/>
      <c r="O108" s="64"/>
      <c r="P108" s="64"/>
      <c r="Q108" s="65"/>
      <c r="R108" s="65"/>
      <c r="S108" s="65"/>
      <c r="T108" s="65"/>
      <c r="U108" s="45"/>
      <c r="V108" s="64"/>
      <c r="W108" s="64"/>
      <c r="X108" s="66"/>
    </row>
    <row r="109" spans="2:32" ht="13" x14ac:dyDescent="0.3">
      <c r="C109" s="7" t="s">
        <v>63</v>
      </c>
      <c r="F109" s="68"/>
      <c r="G109" s="68"/>
      <c r="H109" s="68"/>
      <c r="I109" s="68"/>
      <c r="O109" s="7" t="s">
        <v>63</v>
      </c>
      <c r="P109" s="61"/>
      <c r="Q109" s="61"/>
      <c r="R109" s="61"/>
      <c r="S109" s="61"/>
    </row>
    <row r="110" spans="2:32" ht="11.5" x14ac:dyDescent="0.25">
      <c r="B110" s="2" t="s">
        <v>48</v>
      </c>
      <c r="E110" s="85"/>
      <c r="F110" s="85"/>
      <c r="N110" s="2" t="s">
        <v>48</v>
      </c>
      <c r="P110" s="61"/>
      <c r="Q110" s="61"/>
      <c r="R110" s="61"/>
      <c r="S110" s="61"/>
    </row>
    <row r="111" spans="2:32" x14ac:dyDescent="0.25">
      <c r="O111" s="61"/>
      <c r="P111" s="61"/>
      <c r="Q111" s="61"/>
      <c r="R111" s="61"/>
      <c r="S111" s="61"/>
    </row>
    <row r="115" spans="15:32" x14ac:dyDescent="0.25">
      <c r="AB115" s="61"/>
      <c r="AC115" s="61"/>
      <c r="AD115" s="61"/>
      <c r="AE115" s="61"/>
      <c r="AF115" s="61"/>
    </row>
    <row r="116" spans="15:32" x14ac:dyDescent="0.25">
      <c r="AB116" s="61"/>
      <c r="AC116" s="61"/>
      <c r="AD116" s="61"/>
      <c r="AE116" s="61"/>
      <c r="AF116" s="61"/>
    </row>
    <row r="117" spans="15:32" x14ac:dyDescent="0.25">
      <c r="O117" s="61"/>
      <c r="R117" s="61"/>
      <c r="S117" s="61"/>
      <c r="AB117" s="61"/>
      <c r="AC117" s="61"/>
      <c r="AD117" s="61"/>
      <c r="AE117" s="61"/>
      <c r="AF117" s="61"/>
    </row>
    <row r="118" spans="15:32" x14ac:dyDescent="0.25">
      <c r="O118" s="61"/>
      <c r="P118" s="61"/>
      <c r="Q118" s="61"/>
      <c r="R118" s="61"/>
      <c r="S118" s="61"/>
    </row>
    <row r="119" spans="15:32" x14ac:dyDescent="0.25">
      <c r="O119" s="61"/>
      <c r="P119" s="61"/>
      <c r="Q119" s="61"/>
      <c r="R119" s="61"/>
      <c r="S119" s="61"/>
    </row>
    <row r="120" spans="15:32" x14ac:dyDescent="0.25">
      <c r="O120" s="61"/>
      <c r="P120" s="61"/>
      <c r="Q120" s="61"/>
      <c r="R120" s="61"/>
      <c r="S120" s="61"/>
    </row>
    <row r="121" spans="15:32" x14ac:dyDescent="0.25">
      <c r="O121" s="61"/>
      <c r="P121" s="61"/>
      <c r="Q121" s="61"/>
      <c r="R121" s="61"/>
      <c r="S121" s="61"/>
    </row>
    <row r="124" spans="15:32" x14ac:dyDescent="0.25">
      <c r="AB124" s="61"/>
      <c r="AE124" s="61"/>
      <c r="AF124" s="61"/>
    </row>
    <row r="125" spans="15:32" x14ac:dyDescent="0.25">
      <c r="AB125" s="61"/>
      <c r="AC125" s="61"/>
      <c r="AD125" s="61"/>
      <c r="AE125" s="61"/>
      <c r="AF125" s="61"/>
    </row>
    <row r="126" spans="15:32" x14ac:dyDescent="0.25">
      <c r="AB126" s="61"/>
      <c r="AC126" s="61"/>
      <c r="AD126" s="61"/>
      <c r="AE126" s="61"/>
      <c r="AF126" s="61"/>
    </row>
    <row r="127" spans="15:32" x14ac:dyDescent="0.25">
      <c r="AB127" s="61"/>
      <c r="AC127" s="61"/>
      <c r="AD127" s="61"/>
      <c r="AE127" s="61"/>
      <c r="AF127" s="61"/>
    </row>
    <row r="128" spans="15:32" x14ac:dyDescent="0.25">
      <c r="AB128" s="61"/>
      <c r="AC128" s="61"/>
      <c r="AD128" s="61"/>
      <c r="AE128" s="61"/>
      <c r="AF128" s="61"/>
    </row>
  </sheetData>
  <mergeCells count="1">
    <mergeCell ref="E110:F110"/>
  </mergeCells>
  <pageMargins left="0.7" right="0.7" top="0.75" bottom="0.75" header="0.3" footer="0.3"/>
  <pageSetup scale="94" orientation="landscape"/>
  <rowBreaks count="2" manualBreakCount="2">
    <brk id="39" max="16383" man="1"/>
    <brk id="76" max="16383" man="1"/>
  </rowBreaks>
  <colBreaks count="1" manualBreakCount="1">
    <brk id="12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2.6a-f</vt:lpstr>
      <vt:lpstr>'Table 2.6a-f'!Print_Area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Bertolino</dc:creator>
  <cp:lastModifiedBy>Danner, Laura</cp:lastModifiedBy>
  <cp:lastPrinted>2025-12-10T20:19:25Z</cp:lastPrinted>
  <dcterms:created xsi:type="dcterms:W3CDTF">2022-12-13T16:21:35Z</dcterms:created>
  <dcterms:modified xsi:type="dcterms:W3CDTF">2026-01-12T19:20:36Z</dcterms:modified>
</cp:coreProperties>
</file>